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015-16 Budget Planning\Level A\"/>
    </mc:Choice>
  </mc:AlternateContent>
  <bookViews>
    <workbookView xWindow="480" yWindow="810" windowWidth="22995" windowHeight="10785"/>
  </bookViews>
  <sheets>
    <sheet name="Level A 2015-16" sheetId="1" r:id="rId1"/>
    <sheet name="Sheet1" sheetId="4" r:id="rId2"/>
    <sheet name="WC 14-15" sheetId="2" r:id="rId3"/>
    <sheet name="WC 13-14" sheetId="3" r:id="rId4"/>
    <sheet name="WC 15-16" sheetId="5" r:id="rId5"/>
  </sheets>
  <externalReferences>
    <externalReference r:id="rId6"/>
  </externalReferences>
  <definedNames>
    <definedName name="_xlnm.Print_Area" localSheetId="0">'Level A 2015-16'!$A$1:$S$76</definedName>
  </definedNames>
  <calcPr calcId="152511"/>
</workbook>
</file>

<file path=xl/calcChain.xml><?xml version="1.0" encoding="utf-8"?>
<calcChain xmlns="http://schemas.openxmlformats.org/spreadsheetml/2006/main">
  <c r="E32" i="4" l="1"/>
  <c r="N33" i="1" l="1"/>
  <c r="J70" i="1" l="1"/>
  <c r="F13" i="1" l="1"/>
  <c r="P68" i="1"/>
  <c r="E39" i="4"/>
  <c r="E20" i="4"/>
  <c r="E14" i="4"/>
  <c r="P71" i="1" l="1"/>
  <c r="N30" i="1"/>
  <c r="M68" i="1" l="1"/>
  <c r="P72" i="1" l="1"/>
  <c r="P64" i="1"/>
  <c r="P39" i="1"/>
  <c r="R39" i="1"/>
  <c r="P38" i="1"/>
  <c r="R38" i="1" s="1"/>
  <c r="P37" i="1"/>
  <c r="R37" i="1" s="1"/>
  <c r="P36" i="1"/>
  <c r="R36" i="1" s="1"/>
  <c r="P61" i="1"/>
  <c r="N35" i="1"/>
  <c r="P35" i="1" s="1"/>
  <c r="R35" i="1" s="1"/>
  <c r="P62" i="1"/>
  <c r="U62" i="1"/>
  <c r="P33" i="1" l="1"/>
  <c r="R33" i="1" s="1"/>
  <c r="P32" i="1"/>
  <c r="R32" i="1" s="1"/>
  <c r="P31" i="1"/>
  <c r="R31" i="1" s="1"/>
  <c r="P30" i="1"/>
  <c r="R30" i="1" s="1"/>
  <c r="N44" i="1"/>
  <c r="P44" i="1" s="1"/>
  <c r="P74" i="1"/>
  <c r="P34" i="1"/>
  <c r="R34" i="1" s="1"/>
  <c r="P66" i="1"/>
  <c r="P11" i="1"/>
  <c r="R11" i="1" s="1"/>
  <c r="P10" i="1"/>
  <c r="R10" i="1" s="1"/>
  <c r="U12" i="1"/>
  <c r="P8" i="1"/>
  <c r="R8" i="1" s="1"/>
  <c r="I7" i="5" l="1"/>
  <c r="I27" i="5"/>
  <c r="I36" i="5"/>
  <c r="I39" i="5"/>
  <c r="H58" i="5"/>
  <c r="H61" i="5"/>
  <c r="H54" i="5"/>
  <c r="H36" i="5"/>
  <c r="H50" i="5"/>
  <c r="H45" i="5"/>
  <c r="H32" i="5"/>
  <c r="H39" i="5"/>
  <c r="H27" i="5"/>
  <c r="D27" i="5"/>
  <c r="I34" i="5"/>
  <c r="I32" i="5"/>
  <c r="I31" i="5"/>
  <c r="I30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P70" i="1" l="1"/>
  <c r="P20" i="1" l="1"/>
  <c r="R20" i="1" s="1"/>
  <c r="I70" i="1" l="1"/>
  <c r="F98" i="1" l="1"/>
  <c r="G101" i="1"/>
  <c r="S27" i="1"/>
  <c r="S26" i="1"/>
  <c r="S22" i="1"/>
  <c r="S21" i="1"/>
  <c r="S19" i="1"/>
  <c r="S18" i="1"/>
  <c r="E9" i="4"/>
  <c r="Q13" i="1"/>
  <c r="G13" i="1"/>
  <c r="H13" i="1"/>
  <c r="I13" i="1"/>
  <c r="J13" i="1"/>
  <c r="K13" i="1"/>
  <c r="L13" i="1"/>
  <c r="M13" i="1"/>
  <c r="S43" i="1"/>
  <c r="S42" i="1"/>
  <c r="S41" i="1"/>
  <c r="S29" i="1"/>
  <c r="S40" i="1"/>
  <c r="Q46" i="1"/>
  <c r="M46" i="1"/>
  <c r="M47" i="1" s="1"/>
  <c r="L46" i="1"/>
  <c r="L47" i="1" s="1"/>
  <c r="K46" i="1"/>
  <c r="K47" i="1" s="1"/>
  <c r="J46" i="1"/>
  <c r="J47" i="1" s="1"/>
  <c r="I46" i="1"/>
  <c r="H46" i="1"/>
  <c r="H47" i="1" s="1"/>
  <c r="G46" i="1"/>
  <c r="G47" i="1" s="1"/>
  <c r="N43" i="1"/>
  <c r="N42" i="1"/>
  <c r="N40" i="1"/>
  <c r="P40" i="1" s="1"/>
  <c r="N29" i="1"/>
  <c r="F46" i="1"/>
  <c r="F47" i="1" s="1"/>
  <c r="Q22" i="1" l="1"/>
  <c r="O22" i="1"/>
  <c r="O26" i="1"/>
  <c r="M26" i="1"/>
  <c r="L26" i="1"/>
  <c r="K26" i="1"/>
  <c r="J26" i="1"/>
  <c r="H26" i="1"/>
  <c r="G26" i="1"/>
  <c r="F26" i="1"/>
  <c r="I26" i="1"/>
  <c r="I27" i="1" s="1"/>
  <c r="I47" i="1" s="1"/>
  <c r="O27" i="1" l="1"/>
  <c r="P21" i="1" l="1"/>
  <c r="N14" i="1"/>
  <c r="I58" i="5" l="1"/>
  <c r="I50" i="5"/>
  <c r="I42" i="5"/>
  <c r="G58" i="5"/>
  <c r="F58" i="5"/>
  <c r="E58" i="5"/>
  <c r="D58" i="5"/>
  <c r="C58" i="5"/>
  <c r="B58" i="5"/>
  <c r="I55" i="5"/>
  <c r="I54" i="5"/>
  <c r="I53" i="5"/>
  <c r="G50" i="5"/>
  <c r="F50" i="5"/>
  <c r="E50" i="5"/>
  <c r="D50" i="5"/>
  <c r="I48" i="5"/>
  <c r="I47" i="5"/>
  <c r="I46" i="5"/>
  <c r="I45" i="5"/>
  <c r="G36" i="5"/>
  <c r="F36" i="5"/>
  <c r="E36" i="5"/>
  <c r="D36" i="5"/>
  <c r="I33" i="5"/>
  <c r="G27" i="5"/>
  <c r="F27" i="5"/>
  <c r="E27" i="5"/>
  <c r="I25" i="5"/>
  <c r="F61" i="5" l="1"/>
  <c r="G61" i="5"/>
  <c r="G32" i="4" l="1"/>
  <c r="P29" i="1"/>
  <c r="R29" i="1" s="1"/>
  <c r="T66" i="1" l="1"/>
  <c r="N70" i="1"/>
  <c r="K70" i="1"/>
  <c r="H70" i="1"/>
  <c r="M69" i="1"/>
  <c r="T67" i="1"/>
  <c r="T69" i="1"/>
  <c r="F70" i="1" l="1"/>
  <c r="T68" i="1"/>
  <c r="M67" i="1"/>
  <c r="N45" i="1"/>
  <c r="R21" i="1" l="1"/>
  <c r="M84" i="1" l="1"/>
  <c r="H85" i="1"/>
  <c r="H86" i="1" s="1"/>
  <c r="L85" i="1"/>
  <c r="L86" i="1" s="1"/>
  <c r="N12" i="1" l="1"/>
  <c r="O12" i="1" s="1"/>
  <c r="O14" i="1"/>
  <c r="G27" i="3"/>
  <c r="H15" i="1"/>
  <c r="H16" i="1" s="1"/>
  <c r="G15" i="1"/>
  <c r="G16" i="1" s="1"/>
  <c r="H55" i="2"/>
  <c r="H54" i="2"/>
  <c r="H53" i="2"/>
  <c r="H58" i="2" s="1"/>
  <c r="G50" i="2"/>
  <c r="F50" i="2"/>
  <c r="E50" i="2"/>
  <c r="D50" i="2"/>
  <c r="H48" i="2"/>
  <c r="H47" i="2"/>
  <c r="H46" i="2"/>
  <c r="H45" i="2"/>
  <c r="H50" i="2" s="1"/>
  <c r="H42" i="2"/>
  <c r="H39" i="2"/>
  <c r="G36" i="2"/>
  <c r="F36" i="2"/>
  <c r="E36" i="2"/>
  <c r="D36" i="2"/>
  <c r="H34" i="2"/>
  <c r="H33" i="2"/>
  <c r="H32" i="2"/>
  <c r="H31" i="2"/>
  <c r="H36" i="2" s="1"/>
  <c r="H30" i="2"/>
  <c r="G27" i="2"/>
  <c r="F27" i="2"/>
  <c r="E27" i="2"/>
  <c r="H27" i="2" s="1"/>
  <c r="D27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7" i="2"/>
  <c r="G58" i="3"/>
  <c r="F58" i="3"/>
  <c r="E58" i="3"/>
  <c r="D58" i="3"/>
  <c r="C58" i="3"/>
  <c r="B58" i="3"/>
  <c r="H55" i="3"/>
  <c r="H58" i="3" s="1"/>
  <c r="H54" i="3"/>
  <c r="H53" i="3"/>
  <c r="G50" i="3"/>
  <c r="G61" i="3" s="1"/>
  <c r="F50" i="3"/>
  <c r="H48" i="3"/>
  <c r="H47" i="3"/>
  <c r="H46" i="3"/>
  <c r="H50" i="3" s="1"/>
  <c r="H45" i="3"/>
  <c r="H42" i="3"/>
  <c r="H39" i="3"/>
  <c r="G36" i="3"/>
  <c r="F36" i="3"/>
  <c r="F61" i="3" s="1"/>
  <c r="H36" i="3"/>
  <c r="H34" i="3"/>
  <c r="H33" i="3"/>
  <c r="H32" i="3"/>
  <c r="H31" i="3"/>
  <c r="H30" i="3"/>
  <c r="F27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7" i="3"/>
  <c r="R40" i="1"/>
  <c r="P42" i="1"/>
  <c r="R42" i="1" s="1"/>
  <c r="N41" i="1"/>
  <c r="Q56" i="1"/>
  <c r="G58" i="2"/>
  <c r="G61" i="2"/>
  <c r="F58" i="2"/>
  <c r="F61" i="2" s="1"/>
  <c r="H61" i="2" s="1"/>
  <c r="E58" i="2"/>
  <c r="D58" i="2"/>
  <c r="C58" i="2"/>
  <c r="B58" i="2"/>
  <c r="F83" i="1"/>
  <c r="F82" i="1"/>
  <c r="K85" i="1"/>
  <c r="K86" i="1" s="1"/>
  <c r="L95" i="1"/>
  <c r="L94" i="1"/>
  <c r="L93" i="1"/>
  <c r="N85" i="1"/>
  <c r="I85" i="1"/>
  <c r="I86" i="1" s="1"/>
  <c r="F93" i="1"/>
  <c r="F91" i="1"/>
  <c r="Q47" i="1"/>
  <c r="C17" i="1"/>
  <c r="O63" i="1"/>
  <c r="O75" i="1" s="1"/>
  <c r="S45" i="1"/>
  <c r="N105" i="1"/>
  <c r="N89" i="1"/>
  <c r="N91" i="1" s="1"/>
  <c r="N94" i="1" s="1"/>
  <c r="N96" i="1" s="1"/>
  <c r="N19" i="1"/>
  <c r="P19" i="1" s="1"/>
  <c r="R19" i="1" s="1"/>
  <c r="N18" i="1"/>
  <c r="P18" i="1" s="1"/>
  <c r="R18" i="1" s="1"/>
  <c r="N17" i="1"/>
  <c r="P63" i="1"/>
  <c r="K61" i="1"/>
  <c r="S53" i="1"/>
  <c r="N25" i="1"/>
  <c r="P25" i="1" s="1"/>
  <c r="R25" i="1" s="1"/>
  <c r="N24" i="1"/>
  <c r="S16" i="1"/>
  <c r="S15" i="1"/>
  <c r="Q15" i="1"/>
  <c r="Q16" i="1" s="1"/>
  <c r="K15" i="1"/>
  <c r="K16" i="1" s="1"/>
  <c r="J15" i="1"/>
  <c r="J16" i="1" s="1"/>
  <c r="S13" i="1"/>
  <c r="N9" i="1"/>
  <c r="S7" i="1"/>
  <c r="N7" i="1"/>
  <c r="I15" i="1"/>
  <c r="I16" i="1" s="1"/>
  <c r="F15" i="1"/>
  <c r="F16" i="1" s="1"/>
  <c r="M15" i="1"/>
  <c r="M16" i="1" s="1"/>
  <c r="L15" i="1"/>
  <c r="L16" i="1" s="1"/>
  <c r="O9" i="1" l="1"/>
  <c r="Q53" i="1"/>
  <c r="N13" i="1"/>
  <c r="O46" i="1"/>
  <c r="O47" i="1" s="1"/>
  <c r="P41" i="1"/>
  <c r="R41" i="1" s="1"/>
  <c r="N46" i="1"/>
  <c r="P24" i="1"/>
  <c r="N26" i="1"/>
  <c r="N27" i="1" s="1"/>
  <c r="P12" i="1"/>
  <c r="R12" i="1" s="1"/>
  <c r="P7" i="1"/>
  <c r="H61" i="3"/>
  <c r="I7" i="2"/>
  <c r="I42" i="2"/>
  <c r="I50" i="2"/>
  <c r="I58" i="2"/>
  <c r="I27" i="2"/>
  <c r="I36" i="2"/>
  <c r="I39" i="2"/>
  <c r="N15" i="1"/>
  <c r="P17" i="1"/>
  <c r="P22" i="1" s="1"/>
  <c r="K60" i="1"/>
  <c r="K55" i="1" s="1"/>
  <c r="K56" i="1" s="1"/>
  <c r="F85" i="1"/>
  <c r="F86" i="1" s="1"/>
  <c r="P14" i="1"/>
  <c r="O15" i="1"/>
  <c r="P43" i="1"/>
  <c r="R43" i="1" s="1"/>
  <c r="F94" i="1"/>
  <c r="G91" i="1" s="1"/>
  <c r="J82" i="1" s="1"/>
  <c r="M82" i="1" s="1"/>
  <c r="P45" i="1"/>
  <c r="E16" i="4" l="1"/>
  <c r="O13" i="1"/>
  <c r="O16" i="1" s="1"/>
  <c r="O53" i="1" s="1"/>
  <c r="P9" i="1"/>
  <c r="R9" i="1" s="1"/>
  <c r="R17" i="1"/>
  <c r="R22" i="1" s="1"/>
  <c r="N16" i="1"/>
  <c r="R7" i="1"/>
  <c r="P13" i="1"/>
  <c r="N47" i="1"/>
  <c r="P46" i="1"/>
  <c r="R24" i="1"/>
  <c r="R26" i="1" s="1"/>
  <c r="P26" i="1"/>
  <c r="P27" i="1" s="1"/>
  <c r="I61" i="2"/>
  <c r="Q57" i="1"/>
  <c r="F53" i="1"/>
  <c r="H53" i="1"/>
  <c r="I53" i="1"/>
  <c r="L53" i="1"/>
  <c r="G53" i="1"/>
  <c r="K53" i="1"/>
  <c r="K57" i="1" s="1"/>
  <c r="M53" i="1"/>
  <c r="J53" i="1"/>
  <c r="R14" i="1"/>
  <c r="R15" i="1" s="1"/>
  <c r="P15" i="1"/>
  <c r="G93" i="1"/>
  <c r="J83" i="1" s="1"/>
  <c r="M83" i="1" s="1"/>
  <c r="M85" i="1" s="1"/>
  <c r="M86" i="1" s="1"/>
  <c r="R45" i="1"/>
  <c r="R46" i="1" s="1"/>
  <c r="R13" i="1" l="1"/>
  <c r="R27" i="1"/>
  <c r="R47" i="1" s="1"/>
  <c r="P47" i="1"/>
  <c r="P16" i="1"/>
  <c r="R16" i="1"/>
  <c r="N53" i="1"/>
  <c r="J85" i="1"/>
  <c r="J86" i="1" s="1"/>
  <c r="P53" i="1" l="1"/>
  <c r="R53" i="1" s="1"/>
  <c r="R57" i="1" s="1"/>
  <c r="I61" i="5" l="1"/>
  <c r="J36" i="5" l="1"/>
  <c r="J39" i="5"/>
  <c r="J50" i="5"/>
  <c r="J27" i="5"/>
  <c r="J7" i="5"/>
  <c r="J58" i="5"/>
  <c r="J42" i="5"/>
  <c r="H61" i="1" l="1"/>
  <c r="H60" i="1" s="1"/>
  <c r="H55" i="1" s="1"/>
  <c r="H56" i="1" s="1"/>
  <c r="H57" i="1" s="1"/>
  <c r="M61" i="1"/>
  <c r="M60" i="1" s="1"/>
  <c r="M55" i="1" s="1"/>
  <c r="M56" i="1" s="1"/>
  <c r="M57" i="1" s="1"/>
  <c r="G61" i="1"/>
  <c r="G60" i="1" s="1"/>
  <c r="G55" i="1" s="1"/>
  <c r="G56" i="1" s="1"/>
  <c r="G57" i="1" s="1"/>
  <c r="F61" i="1"/>
  <c r="L61" i="1"/>
  <c r="L60" i="1" s="1"/>
  <c r="J61" i="5"/>
  <c r="J61" i="1"/>
  <c r="J60" i="1" s="1"/>
  <c r="J55" i="1" s="1"/>
  <c r="J56" i="1" s="1"/>
  <c r="J57" i="1" s="1"/>
  <c r="I61" i="1"/>
  <c r="I60" i="1" s="1"/>
  <c r="I55" i="1" s="1"/>
  <c r="I56" i="1" s="1"/>
  <c r="I57" i="1" s="1"/>
  <c r="L55" i="1" l="1"/>
  <c r="L56" i="1" s="1"/>
  <c r="L57" i="1" s="1"/>
  <c r="L66" i="1"/>
  <c r="N61" i="1"/>
  <c r="F60" i="1"/>
  <c r="F55" i="1" s="1"/>
  <c r="L70" i="1" l="1"/>
  <c r="M66" i="1"/>
  <c r="M70" i="1" s="1"/>
  <c r="M73" i="1" s="1"/>
  <c r="N55" i="1"/>
  <c r="F56" i="1"/>
  <c r="F57" i="1" s="1"/>
  <c r="O55" i="1" l="1"/>
  <c r="P65" i="1" s="1"/>
  <c r="N56" i="1"/>
  <c r="N57" i="1" s="1"/>
  <c r="K58" i="1" l="1"/>
  <c r="N58" i="1"/>
  <c r="H58" i="1"/>
  <c r="I58" i="1"/>
  <c r="L58" i="1"/>
  <c r="G58" i="1"/>
  <c r="J58" i="1"/>
  <c r="M58" i="1"/>
  <c r="P55" i="1"/>
  <c r="P75" i="1"/>
  <c r="O56" i="1"/>
  <c r="O57" i="1" s="1"/>
  <c r="F58" i="1"/>
  <c r="P77" i="1" l="1"/>
  <c r="P76" i="1"/>
  <c r="T65" i="1"/>
  <c r="E10" i="4"/>
  <c r="E40" i="4" s="1"/>
  <c r="P56" i="1"/>
  <c r="P57" i="1" s="1"/>
  <c r="R55" i="1"/>
</calcChain>
</file>

<file path=xl/comments1.xml><?xml version="1.0" encoding="utf-8"?>
<comments xmlns="http://schemas.openxmlformats.org/spreadsheetml/2006/main">
  <authors>
    <author>sharon briscoe</author>
    <author>localuser</author>
    <author>jwaayers</author>
  </authors>
  <commentList>
    <comment ref="Q68" authorId="0" shapeId="0">
      <text>
        <r>
          <rPr>
            <b/>
            <sz val="8"/>
            <color indexed="81"/>
            <rFont val="Tahoma"/>
            <family val="2"/>
          </rPr>
          <t>sharon briscoe:</t>
        </r>
        <r>
          <rPr>
            <sz val="8"/>
            <color indexed="81"/>
            <rFont val="Tahoma"/>
            <family val="2"/>
          </rPr>
          <t xml:space="preserve">
EOP 1,508,015
Perkins 49550,Grad 2255
</t>
        </r>
      </text>
    </comment>
    <comment ref="Q70" authorId="1" shapeId="0">
      <text>
        <r>
          <rPr>
            <b/>
            <sz val="10"/>
            <color indexed="81"/>
            <rFont val="Tahoma"/>
            <family val="2"/>
          </rPr>
          <t>localuser:</t>
        </r>
        <r>
          <rPr>
            <sz val="10"/>
            <color indexed="81"/>
            <rFont val="Tahoma"/>
            <family val="2"/>
          </rPr>
          <t xml:space="preserve">
Economic development $650,000+500,000 Strategic Plan
</t>
        </r>
      </text>
    </comment>
    <comment ref="O73" authorId="2" shapeId="0">
      <text>
        <r>
          <rPr>
            <b/>
            <sz val="8"/>
            <color indexed="81"/>
            <rFont val="Tahoma"/>
            <family val="2"/>
          </rPr>
          <t>sbriscoe:</t>
        </r>
        <r>
          <rPr>
            <sz val="8"/>
            <color indexed="81"/>
            <rFont val="Tahoma"/>
            <family val="2"/>
          </rPr>
          <t xml:space="preserve">
This amount represents the net amount needed to fund 
 one-time allocations (on the Level-A worksheet) (Excluding risk pool).
</t>
        </r>
      </text>
    </comment>
    <comment ref="P73" authorId="2" shapeId="0">
      <text>
        <r>
          <rPr>
            <b/>
            <sz val="8"/>
            <color indexed="81"/>
            <rFont val="Tahoma"/>
            <family val="2"/>
          </rPr>
          <t>sbriscoe:</t>
        </r>
        <r>
          <rPr>
            <sz val="8"/>
            <color indexed="81"/>
            <rFont val="Tahoma"/>
            <family val="2"/>
          </rPr>
          <t xml:space="preserve">
This amount represents the net amount needed to fund 
 one-time allocations (on the Level-A worksheet) (Excluding risk pool).
</t>
        </r>
      </text>
    </comment>
    <comment ref="O75" authorId="0" shapeId="0">
      <text>
        <r>
          <rPr>
            <b/>
            <sz val="8"/>
            <color indexed="81"/>
            <rFont val="Tahoma"/>
            <family val="2"/>
          </rPr>
          <t>sharon briscoe:</t>
        </r>
        <r>
          <rPr>
            <sz val="8"/>
            <color indexed="81"/>
            <rFont val="Tahoma"/>
            <family val="2"/>
          </rPr>
          <t xml:space="preserve">
Summer Arts budget 
decrease of $87,000
</t>
        </r>
      </text>
    </comment>
  </commentList>
</comments>
</file>

<file path=xl/sharedStrings.xml><?xml version="1.0" encoding="utf-8"?>
<sst xmlns="http://schemas.openxmlformats.org/spreadsheetml/2006/main" count="482" uniqueCount="228">
  <si>
    <t xml:space="preserve"> </t>
  </si>
  <si>
    <t>California State University, Fresno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</si>
  <si>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</si>
  <si>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</si>
  <si>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</si>
  <si>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</si>
  <si>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</si>
  <si>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</si>
  <si>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</si>
  <si>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</si>
  <si>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</si>
  <si>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</si>
  <si>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</si>
  <si>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</si>
  <si>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</si>
  <si>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</si>
  <si>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Description</t>
  </si>
  <si>
    <t>Instruction/
Academic Support</t>
  </si>
  <si>
    <t>Student
Affairs</t>
  </si>
  <si>
    <t>Admin/
Human 
Resources</t>
  </si>
  <si>
    <t>Facilities</t>
  </si>
  <si>
    <t>Advance</t>
  </si>
  <si>
    <t>Executive</t>
  </si>
  <si>
    <t>Technology</t>
  </si>
  <si>
    <t>Athletics</t>
  </si>
  <si>
    <t>Total</t>
  </si>
  <si>
    <t>Centrally
Managed Resources</t>
  </si>
  <si>
    <t xml:space="preserve">Total          </t>
  </si>
  <si>
    <t>Health Center</t>
  </si>
  <si>
    <t>Combined Budget</t>
  </si>
  <si>
    <t xml:space="preserve"> Attach A Col(4)</t>
  </si>
  <si>
    <t>Deferred Maintenance</t>
  </si>
  <si>
    <t>Administrative Services</t>
  </si>
  <si>
    <t>Financial Aid - State University Grants</t>
  </si>
  <si>
    <t>SUG Pool</t>
  </si>
  <si>
    <t>Attach E Col (3)</t>
  </si>
  <si>
    <t>Retirement Adjustment</t>
  </si>
  <si>
    <t xml:space="preserve"> Attach B Col (2)</t>
  </si>
  <si>
    <t>Mandatory Costs</t>
  </si>
  <si>
    <t>Benefit Cost Increases</t>
  </si>
  <si>
    <t>Benefits Pool - H &amp; W</t>
  </si>
  <si>
    <t>Attach C Col (1)</t>
  </si>
  <si>
    <t>New Space Needs</t>
  </si>
  <si>
    <t>Attach C Col (3)</t>
  </si>
  <si>
    <t>Campus Adjustments</t>
  </si>
  <si>
    <t>Total Chancellor's Office, Mandatory Cost &amp; Campus Adj.</t>
  </si>
  <si>
    <t>Other Campus Adjustments</t>
  </si>
  <si>
    <t>One-Time Campus Allocations</t>
  </si>
  <si>
    <t xml:space="preserve">  Total One-Time Allocations</t>
  </si>
  <si>
    <t>Total One Time Allocations</t>
  </si>
  <si>
    <t>Effective Level A % On Base</t>
  </si>
  <si>
    <t>Beginning</t>
  </si>
  <si>
    <t xml:space="preserve">Ending </t>
  </si>
  <si>
    <t>Gender Equity and Dues</t>
  </si>
  <si>
    <t>Benefits Pool</t>
  </si>
  <si>
    <t>Risk Pool &amp; Property Insurance</t>
  </si>
  <si>
    <t>State University Grants</t>
  </si>
  <si>
    <t>Work Study</t>
  </si>
  <si>
    <t>EOP, Perkins &amp; Graduate Grants</t>
  </si>
  <si>
    <t>Strategic Plan &amp; Econ Development</t>
  </si>
  <si>
    <t>Compensation Pool</t>
  </si>
  <si>
    <t>Utilities</t>
  </si>
  <si>
    <t>Interest Reserve</t>
  </si>
  <si>
    <t>Total Centrally Managed Resources</t>
  </si>
  <si>
    <t>Open for detail regarding changes by division.</t>
  </si>
  <si>
    <t>Information Technology Detail</t>
  </si>
  <si>
    <t>Percent</t>
  </si>
  <si>
    <t>Revised Level A %</t>
  </si>
  <si>
    <t xml:space="preserve">TILT </t>
  </si>
  <si>
    <t>CIO - (STLT Projects)</t>
  </si>
  <si>
    <t>Student Success Funding</t>
  </si>
  <si>
    <t>New Level A Funding</t>
  </si>
  <si>
    <t>2013/14 Revised Base Budget</t>
  </si>
  <si>
    <t>2013/14 Benefit Assessment Reversed</t>
  </si>
  <si>
    <t>2014/15                               New Funding</t>
  </si>
  <si>
    <t>2014/15                    Base Budget</t>
  </si>
  <si>
    <t>Worker's Compensation Analysis</t>
  </si>
  <si>
    <t>Division</t>
  </si>
  <si>
    <t>% of Total</t>
  </si>
  <si>
    <t xml:space="preserve">Office of President </t>
  </si>
  <si>
    <t>Director of Athletics</t>
  </si>
  <si>
    <t xml:space="preserve">Academic Affairs </t>
  </si>
  <si>
    <t>Assoc Provost Acd Resource</t>
  </si>
  <si>
    <t>Associate VP Academic Affairs</t>
  </si>
  <si>
    <t>Associate VP Academic Personnel</t>
  </si>
  <si>
    <t>College Ag &amp; Science</t>
  </si>
  <si>
    <t>College Engineering /computer</t>
  </si>
  <si>
    <t xml:space="preserve">College Health &amp; Human </t>
  </si>
  <si>
    <t xml:space="preserve">College Art &amp; Humanities </t>
  </si>
  <si>
    <t>College Science &amp; Math</t>
  </si>
  <si>
    <t>College Social Science</t>
  </si>
  <si>
    <t>Division of Extended Ed</t>
  </si>
  <si>
    <t>Division of Graduate Studies</t>
  </si>
  <si>
    <t>Kreman School Education</t>
  </si>
  <si>
    <t>Learning &amp; Technology</t>
  </si>
  <si>
    <t>Library Services</t>
  </si>
  <si>
    <t>Craig School of Business</t>
  </si>
  <si>
    <t>Community &amp; Economic Develop</t>
  </si>
  <si>
    <t xml:space="preserve">Total </t>
  </si>
  <si>
    <t>VP Administration</t>
  </si>
  <si>
    <t>Finance Mgmt/Univ Controller</t>
  </si>
  <si>
    <t>University Police</t>
  </si>
  <si>
    <t xml:space="preserve">Risk Mgmt &amp; Sustainability </t>
  </si>
  <si>
    <t>Human Resources</t>
  </si>
  <si>
    <t>Director of Facilities Mgmt</t>
  </si>
  <si>
    <t>Information Technology</t>
  </si>
  <si>
    <t xml:space="preserve">Student Affairs </t>
  </si>
  <si>
    <t>VP Enrollment</t>
  </si>
  <si>
    <t>Student Success Services</t>
  </si>
  <si>
    <t>Deans Office</t>
  </si>
  <si>
    <t xml:space="preserve">University Advancement </t>
  </si>
  <si>
    <t>Communications</t>
  </si>
  <si>
    <t>Proof</t>
  </si>
  <si>
    <t xml:space="preserve">Alumni Relations </t>
  </si>
  <si>
    <t>Associate VP Advamcement</t>
  </si>
  <si>
    <t>Faculty and Staff Equity Program</t>
  </si>
  <si>
    <t>Tuition Reserves</t>
  </si>
  <si>
    <t>Central Resources</t>
  </si>
  <si>
    <r>
      <t xml:space="preserve">Risk Pool Assessment - Worker's Compensation </t>
    </r>
    <r>
      <rPr>
        <sz val="8"/>
        <rFont val="Arial"/>
        <family val="2"/>
      </rPr>
      <t>(2014/15)</t>
    </r>
  </si>
  <si>
    <t>Compensation Increase Adjustments</t>
  </si>
  <si>
    <t>2013/14           Risk Pool Assessment</t>
  </si>
  <si>
    <t>2014/15           Risk Pool Assessment</t>
  </si>
  <si>
    <t>Fresno State</t>
  </si>
  <si>
    <t>Level A  - Centrally Managed Posting Spreadsheet</t>
  </si>
  <si>
    <t>Reconciliation Purposes Only</t>
  </si>
  <si>
    <t>Dept Fdescr</t>
  </si>
  <si>
    <t>Acct Fdescr</t>
  </si>
  <si>
    <t>Post Base Budget Level A Spreadsheet</t>
  </si>
  <si>
    <t>Confirmed to Level A Spreadsheet</t>
  </si>
  <si>
    <t>Reserves &amp; Central Resources Detail</t>
  </si>
  <si>
    <t>Original Budget Entry</t>
  </si>
  <si>
    <t>70002 - Economic Development</t>
  </si>
  <si>
    <t>70003 - Strategic Planning</t>
  </si>
  <si>
    <t>70004 - Benefits Pool</t>
  </si>
  <si>
    <t>70005 - Risk Mgmt-CSURMA</t>
  </si>
  <si>
    <t>70006 - Risk Mgmt-Insurance Deductible</t>
  </si>
  <si>
    <t>70007 - CIO Reserve</t>
  </si>
  <si>
    <t>70009 - Campus Interest Earnings Reser</t>
  </si>
  <si>
    <t>70014 - Compensation Pool</t>
  </si>
  <si>
    <t>70015 - Gender Equity</t>
  </si>
  <si>
    <t>70050 - General Financial Operations</t>
  </si>
  <si>
    <t>70422 - Utility Management</t>
  </si>
  <si>
    <t>70021 - Off Campus WS - 100% Reimb</t>
  </si>
  <si>
    <t>602802 - Work Study Wages-Off Campus</t>
  </si>
  <si>
    <t>70065 - Work Study Pool</t>
  </si>
  <si>
    <t>602801 - Work Study Wages-On Campus</t>
  </si>
  <si>
    <t>70025 - Student Grants And Loans</t>
  </si>
  <si>
    <r>
      <t xml:space="preserve">609802 - EOP Grant or </t>
    </r>
    <r>
      <rPr>
        <b/>
        <sz val="8"/>
        <color rgb="FFC00000"/>
        <rFont val="Arial"/>
        <family val="2"/>
      </rPr>
      <t>609803</t>
    </r>
  </si>
  <si>
    <r>
      <t>609822 - State Grad Student Schlrshps or</t>
    </r>
    <r>
      <rPr>
        <b/>
        <sz val="8"/>
        <color rgb="FFC00000"/>
        <rFont val="Arial"/>
        <family val="2"/>
      </rPr>
      <t xml:space="preserve"> 609823</t>
    </r>
  </si>
  <si>
    <t>660877 - State Contribution-Perkins</t>
  </si>
  <si>
    <r>
      <t>609812 - State University Grants or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C00000"/>
        <rFont val="Arial"/>
        <family val="2"/>
      </rPr>
      <t>609813</t>
    </r>
  </si>
  <si>
    <t xml:space="preserve"> Total</t>
  </si>
  <si>
    <t>CIO Reserve</t>
  </si>
  <si>
    <t>70011 to President's Reserve</t>
  </si>
  <si>
    <t xml:space="preserve">2015/16 Level A Budget </t>
  </si>
  <si>
    <r>
      <t>Original 2014/15 Level A Budget-</t>
    </r>
    <r>
      <rPr>
        <b/>
        <sz val="8"/>
        <rFont val="Arial"/>
        <family val="2"/>
      </rPr>
      <t xml:space="preserve"> Enacted State Budget Allocations (B14-03)</t>
    </r>
  </si>
  <si>
    <t>Equity Increase Adjustments</t>
  </si>
  <si>
    <t>2014/15 Compensation Increase Augmentation</t>
  </si>
  <si>
    <t>2014/15 Equity Increase Augmentation</t>
  </si>
  <si>
    <t>Annual Risk Pool - Workers Comp (2014/15 Premium)</t>
  </si>
  <si>
    <t>Final 2014/15 Level A Budget</t>
  </si>
  <si>
    <t>Total 2014/15 One-Time Adjustments</t>
  </si>
  <si>
    <t>Subtotal 2014/15 Revised Base Budget Before Permanent Adjust.</t>
  </si>
  <si>
    <t>Risk Pool Assessment</t>
  </si>
  <si>
    <r>
      <t xml:space="preserve">Risk Pool Assessment - Worker's Compensation </t>
    </r>
    <r>
      <rPr>
        <sz val="8"/>
        <rFont val="Arial"/>
        <family val="2"/>
      </rPr>
      <t>(2015/16)</t>
    </r>
  </si>
  <si>
    <t xml:space="preserve">   Total  2015/16 Level A Budget </t>
  </si>
  <si>
    <t>2014/15 Risk Pool Assessment</t>
  </si>
  <si>
    <t xml:space="preserve">     Revised  2015/16 Base Budget</t>
  </si>
  <si>
    <t>2% Compensation Increase Pool</t>
  </si>
  <si>
    <t>Subtotal 2015/16 Chancellor's Office Adjustments</t>
  </si>
  <si>
    <t>Subtotal 2015/16 Mandatory Adjustments</t>
  </si>
  <si>
    <t>Total 2015/16 Chancellor Office Adjustments</t>
  </si>
  <si>
    <t>T.A. Waivers</t>
  </si>
  <si>
    <t>University Advancement</t>
  </si>
  <si>
    <t>Central Benefits</t>
  </si>
  <si>
    <t>Subtotal 2015/16 Campus Adjustments</t>
  </si>
  <si>
    <t>2015/16           Risk Pool Assessment</t>
  </si>
  <si>
    <t>2015/16                    Base Budget</t>
  </si>
  <si>
    <t>2014/154 Revised Base Budget</t>
  </si>
  <si>
    <t>Equity Augmentation</t>
  </si>
  <si>
    <t>2014-15 Supplemental Compensation</t>
  </si>
  <si>
    <t>Annual Risk Pool - Workers Comp. (15/16 Premium)</t>
  </si>
  <si>
    <t xml:space="preserve">  </t>
  </si>
  <si>
    <t>2015/16                               New Funding</t>
  </si>
  <si>
    <t>Tablet Funding</t>
  </si>
  <si>
    <t>Adjustment to CO Gross Final Budget</t>
  </si>
  <si>
    <t>CIO Funding</t>
  </si>
  <si>
    <t>CIO Funding Held Centrally in Prior Years</t>
  </si>
  <si>
    <t>Transfer to the Benefit Pool for Compensation Pool related benefits costs</t>
  </si>
  <si>
    <t>Transfer from the Comp Pool  to the Benefit Pool for compensation increases</t>
  </si>
  <si>
    <t>Central Reserves Allocation to Faculty/Staff Equity Program</t>
  </si>
  <si>
    <t>Comp Pool Augmentation for Faculty/Staff Equity Program from Central Reserve</t>
  </si>
  <si>
    <t>President's Reserve Allocated to JCAST for Ag Commission</t>
  </si>
  <si>
    <t>Tuition and Fees Student Success Funding</t>
  </si>
  <si>
    <t xml:space="preserve">   Total 2015/16 Level A Budget (FIRMS)</t>
  </si>
  <si>
    <t>DiscoveryE Permanent Funding</t>
  </si>
  <si>
    <t>Risk Pool Funding transfer to Benefit Pool</t>
  </si>
  <si>
    <t>Transfer to the Benefit Pool from the Risk Pool</t>
  </si>
  <si>
    <t>Utilities Funding transfer to the Benefit Pool</t>
  </si>
  <si>
    <t xml:space="preserve">CIO </t>
  </si>
  <si>
    <t>STLT Projects</t>
  </si>
  <si>
    <t>Executive Funded from Tuition Reserves</t>
  </si>
  <si>
    <t>Transfer to the Benefit Pool from the Utilities Pool</t>
  </si>
  <si>
    <t>2014/15 Risk Pool Percentages (4 yr. rolling average)</t>
  </si>
  <si>
    <t>70001 - Student Success Program</t>
  </si>
  <si>
    <t>FY 2015/16</t>
  </si>
  <si>
    <t>Executive Director  Governmental Relations</t>
  </si>
  <si>
    <t>CABINET APPROVED  8/10/2015</t>
  </si>
  <si>
    <t>Account</t>
  </si>
  <si>
    <t>Fund</t>
  </si>
  <si>
    <t>Org</t>
  </si>
  <si>
    <t>Class</t>
  </si>
  <si>
    <t>00000</t>
  </si>
  <si>
    <t>01003</t>
  </si>
  <si>
    <t>01005</t>
  </si>
  <si>
    <t>01004</t>
  </si>
  <si>
    <t>BPR03</t>
  </si>
  <si>
    <t>BPR04</t>
  </si>
  <si>
    <t>605801 - Electricity</t>
  </si>
  <si>
    <t>605802 - Energy Projects</t>
  </si>
  <si>
    <t>605803 - Natural Gas</t>
  </si>
  <si>
    <t>605804 - Water</t>
  </si>
  <si>
    <t>605805 - Sewage</t>
  </si>
  <si>
    <t>605812 - Analysis Testing</t>
  </si>
  <si>
    <t>605813 - Disposal</t>
  </si>
  <si>
    <t>605816 - Taxes &amp; Fees</t>
  </si>
  <si>
    <t>605822 - Waste Removal</t>
  </si>
  <si>
    <t>SUB-TOTAL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</si>
</sst>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\ "/>
    <numFmt numFmtId="167" formatCode="0.000%"/>
    <numFmt numFmtId="168" formatCode="_(&quot;$&quot;* #,##0.0_);_(&quot;$&quot;* \(#,##0.0\);_(&quot;$&quot;* &quot;-&quot;??_);_(@_)"/>
    <numFmt numFmtId="169" formatCode="0.0000%"/>
    <numFmt numFmtId="170" formatCode="0.000000%"/>
    <numFmt numFmtId="171" formatCode="0.00000000%"/>
    <numFmt numFmtId="172" formatCode="_(* #,##0.00000_);_(* \(#,##0.00000\);_(* &quot;-&quot;??_);_(@_)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9"/>
      <name val="Arial"/>
      <family val="2"/>
    </font>
    <font>
      <b/>
      <sz val="16"/>
      <name val="Arial"/>
      <family val="2"/>
    </font>
    <font>
      <b/>
      <i/>
      <sz val="14"/>
      <color rgb="FFFF0000"/>
      <name val="Arial"/>
      <family val="2"/>
    </font>
    <font>
      <i/>
      <sz val="16"/>
      <color indexed="10"/>
      <name val="Bauhaus 93"/>
      <family val="5"/>
    </font>
    <font>
      <b/>
      <sz val="18"/>
      <color rgb="FFFF0000"/>
      <name val="Arial"/>
      <family val="2"/>
    </font>
    <font>
      <b/>
      <sz val="22"/>
      <name val="Arial"/>
      <family val="2"/>
    </font>
    <font>
      <b/>
      <i/>
      <sz val="2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u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color theme="0"/>
      <name val="Arial"/>
      <family val="2"/>
    </font>
    <font>
      <sz val="9"/>
      <name val="Arial"/>
      <family val="2"/>
    </font>
    <font>
      <sz val="11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color theme="0"/>
      <name val="Arial"/>
      <family val="2"/>
    </font>
    <font>
      <b/>
      <i/>
      <sz val="10"/>
      <color indexed="17"/>
      <name val="Arial"/>
      <family val="2"/>
    </font>
    <font>
      <b/>
      <i/>
      <sz val="11"/>
      <color theme="0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sz val="8"/>
      <color theme="1"/>
      <name val="Arial"/>
      <family val="2"/>
    </font>
    <font>
      <b/>
      <i/>
      <sz val="10.5"/>
      <name val="Arial"/>
      <family val="2"/>
    </font>
    <font>
      <b/>
      <i/>
      <u/>
      <sz val="10"/>
      <name val="Arial"/>
      <family val="2"/>
    </font>
    <font>
      <b/>
      <i/>
      <sz val="9"/>
      <color rgb="FFC00000"/>
      <name val="Arial"/>
      <family val="2"/>
    </font>
    <font>
      <b/>
      <sz val="9"/>
      <color rgb="FFC00000"/>
      <name val="Arial"/>
      <family val="2"/>
    </font>
    <font>
      <i/>
      <sz val="9"/>
      <color rgb="FFC00000"/>
      <name val="Arial"/>
      <family val="2"/>
    </font>
    <font>
      <b/>
      <i/>
      <sz val="11"/>
      <color theme="1"/>
      <name val="Arial"/>
      <family val="2"/>
    </font>
    <font>
      <b/>
      <i/>
      <sz val="10"/>
      <color rgb="FFC00000"/>
      <name val="Arial"/>
      <family val="2"/>
    </font>
    <font>
      <b/>
      <sz val="10"/>
      <color theme="0"/>
      <name val="Arial"/>
      <family val="2"/>
    </font>
    <font>
      <b/>
      <i/>
      <sz val="8"/>
      <color theme="1"/>
      <name val="Arial"/>
      <family val="2"/>
    </font>
    <font>
      <b/>
      <i/>
      <sz val="8"/>
      <color indexed="17"/>
      <name val="Arial"/>
      <family val="2"/>
    </font>
    <font>
      <b/>
      <i/>
      <sz val="9"/>
      <color indexed="17"/>
      <name val="Arial"/>
      <family val="2"/>
    </font>
    <font>
      <b/>
      <sz val="11"/>
      <color theme="1"/>
      <name val="Arial"/>
      <family val="2"/>
    </font>
    <font>
      <b/>
      <vertAlign val="superscript"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1"/>
      <name val="Calibri"/>
      <family val="2"/>
      <scheme val="minor"/>
    </font>
    <font>
      <sz val="10"/>
      <color indexed="12"/>
      <name val="Arial"/>
      <family val="2"/>
    </font>
    <font>
      <b/>
      <sz val="10"/>
      <color theme="1"/>
      <name val="Arial"/>
      <family val="2"/>
    </font>
    <font>
      <b/>
      <sz val="10"/>
      <color rgb="FF333399"/>
      <name val="Arial"/>
      <family val="2"/>
    </font>
    <font>
      <sz val="8"/>
      <color rgb="FF000000"/>
      <name val="Arial"/>
      <family val="2"/>
    </font>
    <font>
      <i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rgb="FFC00000"/>
      <name val="Arial"/>
      <family val="2"/>
    </font>
    <font>
      <sz val="10"/>
      <color theme="1"/>
      <name val="Arial"/>
      <family val="2"/>
    </font>
    <font>
      <b/>
      <sz val="10"/>
      <color rgb="FF000066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color rgb="FF0070C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9F9F9"/>
      </patternFill>
    </fill>
  </fills>
  <borders count="1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auto="1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000000"/>
      </left>
      <right/>
      <top style="hair">
        <color rgb="FF000000"/>
      </top>
      <bottom style="thin">
        <color rgb="FFB7B7B7"/>
      </bottom>
      <diagonal/>
    </border>
    <border>
      <left/>
      <right style="thin">
        <color rgb="FFB7B7B7"/>
      </right>
      <top style="hair">
        <color rgb="FF000000"/>
      </top>
      <bottom style="thin">
        <color rgb="FFB7B7B7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auto="1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rgb="FF000000"/>
      </left>
      <right style="thin">
        <color indexed="64"/>
      </right>
      <top style="hair">
        <color indexed="64"/>
      </top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indexed="64"/>
      </left>
      <right style="thin">
        <color rgb="FF959595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959595"/>
      </right>
      <top/>
      <bottom/>
      <diagonal/>
    </border>
    <border>
      <left style="thin">
        <color indexed="64"/>
      </left>
      <right style="thin">
        <color rgb="FF959595"/>
      </right>
      <top style="thin">
        <color rgb="FF959595"/>
      </top>
      <bottom/>
      <diagonal/>
    </border>
    <border>
      <left style="thin">
        <color rgb="FF959595"/>
      </left>
      <right style="hair">
        <color indexed="64"/>
      </right>
      <top style="thin">
        <color rgb="FF959595"/>
      </top>
      <bottom style="thin">
        <color rgb="FF959595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</cellStyleXfs>
  <cellXfs count="73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44" fontId="0" fillId="0" borderId="0" xfId="4" applyFont="1" applyFill="1" applyBorder="1"/>
    <xf numFmtId="0" fontId="4" fillId="0" borderId="0" xfId="0" applyFont="1"/>
    <xf numFmtId="37" fontId="5" fillId="0" borderId="0" xfId="0" quotePrefix="1" applyNumberFormat="1" applyFont="1" applyFill="1" applyBorder="1" applyAlignment="1">
      <alignment vertical="center" wrapText="1"/>
    </xf>
    <xf numFmtId="37" fontId="5" fillId="0" borderId="0" xfId="0" applyNumberFormat="1" applyFont="1" applyFill="1" applyBorder="1" applyAlignment="1">
      <alignment vertical="center" wrapText="1"/>
    </xf>
    <xf numFmtId="164" fontId="0" fillId="0" borderId="0" xfId="0" applyNumberFormat="1"/>
    <xf numFmtId="0" fontId="6" fillId="0" borderId="0" xfId="0" applyFont="1"/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4" fontId="9" fillId="0" borderId="0" xfId="4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37" fontId="12" fillId="0" borderId="0" xfId="0" applyNumberFormat="1" applyFont="1" applyAlignment="1">
      <alignment horizontal="left"/>
    </xf>
    <xf numFmtId="37" fontId="13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quotePrefix="1" applyFont="1" applyFill="1" applyBorder="1" applyAlignment="1">
      <alignment horizontal="center"/>
    </xf>
    <xf numFmtId="44" fontId="16" fillId="0" borderId="0" xfId="4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2" borderId="5" xfId="0" applyFont="1" applyFill="1" applyBorder="1" applyAlignment="1">
      <alignment horizontal="right" vertical="center"/>
    </xf>
    <xf numFmtId="0" fontId="18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44" fontId="0" fillId="0" borderId="0" xfId="4" applyFont="1" applyFill="1" applyAlignment="1">
      <alignment horizontal="center" vertical="center"/>
    </xf>
    <xf numFmtId="165" fontId="18" fillId="0" borderId="9" xfId="2" applyNumberFormat="1" applyFont="1" applyFill="1" applyBorder="1" applyAlignment="1">
      <alignment horizontal="right" wrapText="1"/>
    </xf>
    <xf numFmtId="165" fontId="18" fillId="0" borderId="10" xfId="2" applyNumberFormat="1" applyFont="1" applyFill="1" applyBorder="1" applyAlignment="1">
      <alignment horizontal="right" vertical="center" wrapText="1"/>
    </xf>
    <xf numFmtId="165" fontId="18" fillId="0" borderId="10" xfId="2" applyNumberFormat="1" applyFont="1" applyFill="1" applyBorder="1" applyAlignment="1">
      <alignment horizontal="right" vertical="center"/>
    </xf>
    <xf numFmtId="165" fontId="18" fillId="0" borderId="11" xfId="2" applyNumberFormat="1" applyFont="1" applyFill="1" applyBorder="1" applyAlignment="1">
      <alignment horizontal="right" vertical="center"/>
    </xf>
    <xf numFmtId="165" fontId="18" fillId="0" borderId="8" xfId="2" applyNumberFormat="1" applyFont="1" applyFill="1" applyBorder="1" applyAlignment="1">
      <alignment horizontal="right" vertical="center"/>
    </xf>
    <xf numFmtId="165" fontId="18" fillId="0" borderId="12" xfId="2" applyNumberFormat="1" applyFont="1" applyFill="1" applyBorder="1" applyAlignment="1">
      <alignment horizontal="right" vertical="center" wrapText="1"/>
    </xf>
    <xf numFmtId="165" fontId="18" fillId="0" borderId="13" xfId="2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165" fontId="22" fillId="0" borderId="0" xfId="4" applyNumberFormat="1" applyFont="1" applyAlignment="1">
      <alignment vertical="center"/>
    </xf>
    <xf numFmtId="164" fontId="25" fillId="0" borderId="30" xfId="6" applyNumberFormat="1" applyFont="1" applyBorder="1" applyAlignment="1">
      <alignment vertical="center"/>
    </xf>
    <xf numFmtId="164" fontId="25" fillId="0" borderId="31" xfId="6" applyNumberFormat="1" applyFont="1" applyBorder="1" applyAlignment="1">
      <alignment vertical="center"/>
    </xf>
    <xf numFmtId="164" fontId="22" fillId="0" borderId="0" xfId="0" applyNumberFormat="1" applyFont="1" applyAlignment="1">
      <alignment vertical="center"/>
    </xf>
    <xf numFmtId="0" fontId="23" fillId="0" borderId="34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165" fontId="11" fillId="0" borderId="38" xfId="4" applyNumberFormat="1" applyFont="1" applyBorder="1" applyAlignment="1">
      <alignment vertical="center"/>
    </xf>
    <xf numFmtId="166" fontId="12" fillId="0" borderId="38" xfId="0" applyNumberFormat="1" applyFont="1" applyBorder="1" applyAlignment="1">
      <alignment vertical="center"/>
    </xf>
    <xf numFmtId="165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166" fontId="11" fillId="0" borderId="23" xfId="0" applyNumberFormat="1" applyFont="1" applyBorder="1" applyAlignment="1">
      <alignment horizontal="left" vertical="center"/>
    </xf>
    <xf numFmtId="165" fontId="11" fillId="0" borderId="39" xfId="4" applyNumberFormat="1" applyFont="1" applyBorder="1" applyAlignment="1">
      <alignment vertical="center"/>
    </xf>
    <xf numFmtId="166" fontId="28" fillId="0" borderId="23" xfId="0" applyNumberFormat="1" applyFont="1" applyBorder="1" applyAlignment="1">
      <alignment horizontal="right" vertical="center"/>
    </xf>
    <xf numFmtId="165" fontId="18" fillId="0" borderId="0" xfId="4" applyNumberFormat="1" applyFont="1"/>
    <xf numFmtId="0" fontId="29" fillId="0" borderId="0" xfId="0" applyFont="1"/>
    <xf numFmtId="0" fontId="3" fillId="0" borderId="49" xfId="0" applyFont="1" applyBorder="1" applyAlignment="1">
      <alignment horizontal="center"/>
    </xf>
    <xf numFmtId="0" fontId="13" fillId="0" borderId="29" xfId="0" applyFont="1" applyBorder="1"/>
    <xf numFmtId="0" fontId="0" fillId="0" borderId="0" xfId="0" applyFill="1"/>
    <xf numFmtId="0" fontId="20" fillId="0" borderId="28" xfId="0" applyFont="1" applyBorder="1" applyAlignment="1">
      <alignment horizontal="left"/>
    </xf>
    <xf numFmtId="0" fontId="13" fillId="0" borderId="50" xfId="0" applyFont="1" applyBorder="1"/>
    <xf numFmtId="0" fontId="20" fillId="0" borderId="51" xfId="0" applyFont="1" applyBorder="1" applyAlignment="1"/>
    <xf numFmtId="0" fontId="20" fillId="0" borderId="52" xfId="0" applyFont="1" applyBorder="1"/>
    <xf numFmtId="164" fontId="20" fillId="0" borderId="21" xfId="5" applyNumberFormat="1" applyFont="1" applyBorder="1"/>
    <xf numFmtId="164" fontId="20" fillId="0" borderId="22" xfId="5" applyNumberFormat="1" applyFont="1" applyBorder="1"/>
    <xf numFmtId="164" fontId="20" fillId="0" borderId="53" xfId="5" applyNumberFormat="1" applyFont="1" applyFill="1" applyBorder="1"/>
    <xf numFmtId="37" fontId="20" fillId="0" borderId="24" xfId="0" applyNumberFormat="1" applyFont="1" applyBorder="1"/>
    <xf numFmtId="164" fontId="24" fillId="0" borderId="25" xfId="5" applyNumberFormat="1" applyFont="1" applyBorder="1"/>
    <xf numFmtId="43" fontId="24" fillId="0" borderId="25" xfId="5" applyFont="1" applyBorder="1"/>
    <xf numFmtId="0" fontId="13" fillId="0" borderId="54" xfId="0" applyFont="1" applyBorder="1"/>
    <xf numFmtId="0" fontId="23" fillId="0" borderId="55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165" fontId="11" fillId="0" borderId="56" xfId="4" applyNumberFormat="1" applyFont="1" applyBorder="1" applyAlignment="1">
      <alignment vertical="center"/>
    </xf>
    <xf numFmtId="165" fontId="11" fillId="0" borderId="57" xfId="4" applyNumberFormat="1" applyFont="1" applyBorder="1" applyAlignment="1">
      <alignment vertical="center"/>
    </xf>
    <xf numFmtId="165" fontId="11" fillId="0" borderId="58" xfId="4" applyNumberFormat="1" applyFont="1" applyBorder="1" applyAlignment="1">
      <alignment vertical="center"/>
    </xf>
    <xf numFmtId="165" fontId="11" fillId="0" borderId="59" xfId="4" applyNumberFormat="1" applyFont="1" applyBorder="1" applyAlignment="1">
      <alignment vertical="center"/>
    </xf>
    <xf numFmtId="166" fontId="12" fillId="0" borderId="60" xfId="0" applyNumberFormat="1" applyFont="1" applyBorder="1" applyAlignment="1">
      <alignment vertical="center"/>
    </xf>
    <xf numFmtId="165" fontId="0" fillId="0" borderId="0" xfId="0" applyNumberFormat="1"/>
    <xf numFmtId="0" fontId="20" fillId="0" borderId="28" xfId="0" applyFont="1" applyBorder="1"/>
    <xf numFmtId="164" fontId="20" fillId="0" borderId="27" xfId="5" applyNumberFormat="1" applyFont="1" applyBorder="1"/>
    <xf numFmtId="37" fontId="20" fillId="0" borderId="29" xfId="0" applyNumberFormat="1" applyFont="1" applyBorder="1"/>
    <xf numFmtId="164" fontId="24" fillId="0" borderId="48" xfId="5" applyNumberFormat="1" applyFont="1" applyBorder="1"/>
    <xf numFmtId="0" fontId="20" fillId="0" borderId="0" xfId="0" applyFont="1"/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6" fontId="28" fillId="0" borderId="23" xfId="0" applyNumberFormat="1" applyFont="1" applyBorder="1" applyAlignment="1">
      <alignment vertical="center"/>
    </xf>
    <xf numFmtId="0" fontId="22" fillId="2" borderId="3" xfId="0" applyFont="1" applyFill="1" applyBorder="1" applyAlignment="1">
      <alignment horizontal="left" vertical="center"/>
    </xf>
    <xf numFmtId="0" fontId="21" fillId="0" borderId="0" xfId="0" applyFont="1"/>
    <xf numFmtId="164" fontId="20" fillId="0" borderId="9" xfId="5" applyNumberFormat="1" applyFont="1" applyBorder="1"/>
    <xf numFmtId="164" fontId="20" fillId="0" borderId="28" xfId="5" applyNumberFormat="1" applyFont="1" applyBorder="1"/>
    <xf numFmtId="164" fontId="20" fillId="0" borderId="29" xfId="5" applyNumberFormat="1" applyFont="1" applyBorder="1"/>
    <xf numFmtId="164" fontId="27" fillId="0" borderId="0" xfId="0" applyNumberFormat="1" applyFont="1"/>
    <xf numFmtId="164" fontId="21" fillId="0" borderId="0" xfId="0" applyNumberFormat="1" applyFont="1"/>
    <xf numFmtId="0" fontId="20" fillId="0" borderId="20" xfId="0" applyFont="1" applyBorder="1" applyAlignment="1">
      <alignment horizontal="left"/>
    </xf>
    <xf numFmtId="0" fontId="27" fillId="0" borderId="0" xfId="0" applyFont="1"/>
    <xf numFmtId="0" fontId="22" fillId="2" borderId="5" xfId="0" applyFont="1" applyFill="1" applyBorder="1" applyAlignment="1">
      <alignment horizontal="left" vertical="center"/>
    </xf>
    <xf numFmtId="0" fontId="22" fillId="2" borderId="78" xfId="0" applyFont="1" applyFill="1" applyBorder="1" applyAlignment="1">
      <alignment vertical="center"/>
    </xf>
    <xf numFmtId="10" fontId="33" fillId="2" borderId="78" xfId="0" applyNumberFormat="1" applyFont="1" applyFill="1" applyBorder="1" applyAlignment="1">
      <alignment vertical="center"/>
    </xf>
    <xf numFmtId="10" fontId="13" fillId="2" borderId="6" xfId="0" applyNumberFormat="1" applyFont="1" applyFill="1" applyBorder="1" applyAlignment="1">
      <alignment vertical="center"/>
    </xf>
    <xf numFmtId="0" fontId="34" fillId="0" borderId="0" xfId="0" applyFont="1" applyAlignment="1">
      <alignment vertical="center"/>
    </xf>
    <xf numFmtId="164" fontId="20" fillId="0" borderId="26" xfId="5" applyNumberFormat="1" applyFont="1" applyBorder="1"/>
    <xf numFmtId="164" fontId="20" fillId="0" borderId="29" xfId="5" applyNumberFormat="1" applyFont="1" applyFill="1" applyBorder="1"/>
    <xf numFmtId="164" fontId="20" fillId="0" borderId="54" xfId="5" applyNumberFormat="1" applyFont="1" applyBorder="1"/>
    <xf numFmtId="164" fontId="20" fillId="0" borderId="38" xfId="5" applyNumberFormat="1" applyFont="1" applyBorder="1"/>
    <xf numFmtId="0" fontId="20" fillId="0" borderId="15" xfId="0" applyFont="1" applyBorder="1" applyAlignment="1">
      <alignment horizontal="left"/>
    </xf>
    <xf numFmtId="165" fontId="21" fillId="0" borderId="0" xfId="4" applyNumberFormat="1" applyFont="1"/>
    <xf numFmtId="0" fontId="21" fillId="0" borderId="0" xfId="0" applyFont="1" applyBorder="1"/>
    <xf numFmtId="0" fontId="0" fillId="0" borderId="0" xfId="0" applyBorder="1"/>
    <xf numFmtId="0" fontId="11" fillId="0" borderId="0" xfId="0" applyFont="1"/>
    <xf numFmtId="166" fontId="11" fillId="0" borderId="23" xfId="0" applyNumberFormat="1" applyFont="1" applyBorder="1" applyAlignment="1">
      <alignment horizontal="right" vertical="center"/>
    </xf>
    <xf numFmtId="0" fontId="3" fillId="0" borderId="85" xfId="0" quotePrefix="1" applyFont="1" applyBorder="1" applyAlignment="1">
      <alignment horizontal="center"/>
    </xf>
    <xf numFmtId="0" fontId="38" fillId="0" borderId="85" xfId="0" applyFont="1" applyBorder="1" applyAlignment="1">
      <alignment horizontal="left" vertical="center"/>
    </xf>
    <xf numFmtId="0" fontId="11" fillId="0" borderId="86" xfId="0" applyFont="1" applyBorder="1" applyAlignment="1">
      <alignment horizontal="left" vertical="center"/>
    </xf>
    <xf numFmtId="165" fontId="11" fillId="0" borderId="87" xfId="4" applyNumberFormat="1" applyFont="1" applyBorder="1" applyAlignment="1">
      <alignment vertical="center"/>
    </xf>
    <xf numFmtId="165" fontId="11" fillId="0" borderId="0" xfId="4" applyNumberFormat="1" applyFont="1"/>
    <xf numFmtId="0" fontId="21" fillId="0" borderId="0" xfId="0" applyFont="1" applyAlignment="1">
      <alignment vertical="center"/>
    </xf>
    <xf numFmtId="0" fontId="21" fillId="2" borderId="75" xfId="0" applyFont="1" applyFill="1" applyBorder="1" applyAlignment="1">
      <alignment horizontal="left" vertical="center"/>
    </xf>
    <xf numFmtId="164" fontId="21" fillId="2" borderId="3" xfId="5" applyNumberFormat="1" applyFont="1" applyFill="1" applyBorder="1" applyAlignment="1">
      <alignment vertical="center"/>
    </xf>
    <xf numFmtId="164" fontId="21" fillId="2" borderId="75" xfId="5" applyNumberFormat="1" applyFont="1" applyFill="1" applyBorder="1" applyAlignment="1">
      <alignment vertical="center"/>
    </xf>
    <xf numFmtId="164" fontId="21" fillId="2" borderId="77" xfId="5" applyNumberFormat="1" applyFont="1" applyFill="1" applyBorder="1" applyAlignment="1">
      <alignment vertical="center"/>
    </xf>
    <xf numFmtId="38" fontId="21" fillId="2" borderId="77" xfId="0" applyNumberFormat="1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3" fillId="0" borderId="15" xfId="0" applyFont="1" applyBorder="1" applyAlignment="1">
      <alignment horizontal="center"/>
    </xf>
    <xf numFmtId="164" fontId="20" fillId="0" borderId="27" xfId="5" applyNumberFormat="1" applyFont="1" applyBorder="1" applyAlignment="1">
      <alignment vertical="center"/>
    </xf>
    <xf numFmtId="0" fontId="13" fillId="0" borderId="76" xfId="0" applyFont="1" applyBorder="1"/>
    <xf numFmtId="0" fontId="20" fillId="0" borderId="83" xfId="0" applyFont="1" applyBorder="1" applyAlignment="1">
      <alignment horizontal="left"/>
    </xf>
    <xf numFmtId="164" fontId="20" fillId="0" borderId="21" xfId="5" applyNumberFormat="1" applyFont="1" applyBorder="1" applyAlignment="1">
      <alignment vertical="center"/>
    </xf>
    <xf numFmtId="164" fontId="20" fillId="0" borderId="22" xfId="5" applyNumberFormat="1" applyFont="1" applyBorder="1" applyAlignment="1">
      <alignment vertical="center"/>
    </xf>
    <xf numFmtId="164" fontId="20" fillId="0" borderId="52" xfId="5" applyNumberFormat="1" applyFont="1" applyBorder="1" applyAlignment="1">
      <alignment vertical="center"/>
    </xf>
    <xf numFmtId="164" fontId="20" fillId="0" borderId="54" xfId="5" applyNumberFormat="1" applyFont="1" applyFill="1" applyBorder="1"/>
    <xf numFmtId="0" fontId="20" fillId="0" borderId="34" xfId="0" applyFont="1" applyBorder="1" applyAlignment="1">
      <alignment horizontal="left"/>
    </xf>
    <xf numFmtId="164" fontId="20" fillId="0" borderId="35" xfId="5" applyNumberFormat="1" applyFont="1" applyBorder="1"/>
    <xf numFmtId="164" fontId="20" fillId="0" borderId="36" xfId="5" applyNumberFormat="1" applyFont="1" applyBorder="1"/>
    <xf numFmtId="164" fontId="20" fillId="0" borderId="37" xfId="5" applyNumberFormat="1" applyFont="1" applyBorder="1"/>
    <xf numFmtId="164" fontId="20" fillId="0" borderId="38" xfId="5" applyNumberFormat="1" applyFont="1" applyFill="1" applyBorder="1"/>
    <xf numFmtId="0" fontId="13" fillId="0" borderId="90" xfId="0" applyFont="1" applyBorder="1"/>
    <xf numFmtId="0" fontId="18" fillId="0" borderId="0" xfId="0" applyFont="1" applyAlignment="1">
      <alignment vertical="center"/>
    </xf>
    <xf numFmtId="166" fontId="3" fillId="0" borderId="23" xfId="0" applyNumberFormat="1" applyFont="1" applyBorder="1" applyAlignment="1">
      <alignment horizontal="right" vertical="center"/>
    </xf>
    <xf numFmtId="0" fontId="19" fillId="0" borderId="51" xfId="0" applyFont="1" applyBorder="1" applyAlignment="1">
      <alignment horizontal="left" vertical="center"/>
    </xf>
    <xf numFmtId="0" fontId="19" fillId="0" borderId="52" xfId="0" applyFont="1" applyBorder="1" applyAlignment="1">
      <alignment horizontal="left" vertical="center"/>
    </xf>
    <xf numFmtId="165" fontId="20" fillId="0" borderId="21" xfId="4" applyNumberFormat="1" applyFont="1" applyBorder="1" applyAlignment="1">
      <alignment vertical="center"/>
    </xf>
    <xf numFmtId="165" fontId="20" fillId="0" borderId="22" xfId="4" applyNumberFormat="1" applyFont="1" applyBorder="1" applyAlignment="1">
      <alignment vertical="center"/>
    </xf>
    <xf numFmtId="165" fontId="20" fillId="0" borderId="52" xfId="4" applyNumberFormat="1" applyFont="1" applyBorder="1" applyAlignment="1">
      <alignment vertical="center"/>
    </xf>
    <xf numFmtId="165" fontId="20" fillId="0" borderId="24" xfId="4" applyNumberFormat="1" applyFont="1" applyFill="1" applyBorder="1" applyAlignment="1">
      <alignment vertical="center"/>
    </xf>
    <xf numFmtId="165" fontId="20" fillId="0" borderId="24" xfId="4" applyNumberFormat="1" applyFont="1" applyBorder="1" applyAlignment="1">
      <alignment vertical="center"/>
    </xf>
    <xf numFmtId="0" fontId="13" fillId="0" borderId="25" xfId="0" applyFont="1" applyBorder="1" applyAlignment="1">
      <alignment horizontal="left" vertical="center" wrapText="1"/>
    </xf>
    <xf numFmtId="165" fontId="18" fillId="0" borderId="0" xfId="0" applyNumberFormat="1" applyFont="1" applyAlignment="1">
      <alignment vertical="center"/>
    </xf>
    <xf numFmtId="166" fontId="28" fillId="0" borderId="66" xfId="0" applyNumberFormat="1" applyFont="1" applyBorder="1" applyAlignment="1">
      <alignment horizontal="right" vertical="center"/>
    </xf>
    <xf numFmtId="0" fontId="3" fillId="0" borderId="67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left" vertical="center"/>
    </xf>
    <xf numFmtId="0" fontId="22" fillId="0" borderId="67" xfId="0" applyFont="1" applyFill="1" applyBorder="1" applyAlignment="1">
      <alignment horizontal="left" vertical="center"/>
    </xf>
    <xf numFmtId="165" fontId="11" fillId="0" borderId="70" xfId="4" applyNumberFormat="1" applyFont="1" applyFill="1" applyBorder="1" applyAlignment="1">
      <alignment vertical="center"/>
    </xf>
    <xf numFmtId="165" fontId="11" fillId="0" borderId="71" xfId="4" applyNumberFormat="1" applyFont="1" applyFill="1" applyBorder="1" applyAlignment="1">
      <alignment vertical="center"/>
    </xf>
    <xf numFmtId="165" fontId="11" fillId="0" borderId="69" xfId="4" applyNumberFormat="1" applyFont="1" applyFill="1" applyBorder="1" applyAlignment="1">
      <alignment vertical="center"/>
    </xf>
    <xf numFmtId="165" fontId="11" fillId="0" borderId="72" xfId="4" applyNumberFormat="1" applyFont="1" applyFill="1" applyBorder="1" applyAlignment="1">
      <alignment vertical="center"/>
    </xf>
    <xf numFmtId="166" fontId="12" fillId="0" borderId="91" xfId="0" applyNumberFormat="1" applyFont="1" applyFill="1" applyBorder="1" applyAlignment="1">
      <alignment horizontal="left" vertical="center"/>
    </xf>
    <xf numFmtId="165" fontId="32" fillId="0" borderId="0" xfId="0" applyNumberFormat="1" applyFont="1"/>
    <xf numFmtId="44" fontId="25" fillId="0" borderId="0" xfId="4" applyFont="1"/>
    <xf numFmtId="44" fontId="25" fillId="0" borderId="0" xfId="0" applyNumberFormat="1" applyFont="1"/>
    <xf numFmtId="0" fontId="25" fillId="0" borderId="0" xfId="0" applyFont="1"/>
    <xf numFmtId="0" fontId="22" fillId="2" borderId="5" xfId="0" applyFont="1" applyFill="1" applyBorder="1" applyAlignment="1">
      <alignment vertical="center"/>
    </xf>
    <xf numFmtId="0" fontId="39" fillId="2" borderId="78" xfId="0" applyFont="1" applyFill="1" applyBorder="1" applyAlignment="1">
      <alignment vertical="center"/>
    </xf>
    <xf numFmtId="0" fontId="0" fillId="2" borderId="78" xfId="0" applyFill="1" applyBorder="1" applyAlignment="1">
      <alignment vertical="center"/>
    </xf>
    <xf numFmtId="38" fontId="21" fillId="2" borderId="41" xfId="0" applyNumberFormat="1" applyFont="1" applyFill="1" applyBorder="1" applyAlignment="1">
      <alignment vertical="center"/>
    </xf>
    <xf numFmtId="37" fontId="21" fillId="2" borderId="78" xfId="0" applyNumberFormat="1" applyFont="1" applyFill="1" applyBorder="1" applyAlignment="1">
      <alignment vertical="center"/>
    </xf>
    <xf numFmtId="38" fontId="0" fillId="2" borderId="78" xfId="0" applyNumberForma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0" fontId="20" fillId="0" borderId="49" xfId="0" applyFont="1" applyBorder="1" applyAlignment="1"/>
    <xf numFmtId="164" fontId="20" fillId="0" borderId="14" xfId="5" applyNumberFormat="1" applyFont="1" applyBorder="1"/>
    <xf numFmtId="43" fontId="24" fillId="0" borderId="48" xfId="5" applyFont="1" applyBorder="1"/>
    <xf numFmtId="165" fontId="0" fillId="0" borderId="0" xfId="2" applyNumberFormat="1" applyFont="1"/>
    <xf numFmtId="166" fontId="3" fillId="0" borderId="64" xfId="0" applyNumberFormat="1" applyFont="1" applyBorder="1" applyAlignment="1">
      <alignment horizontal="right" vertical="center"/>
    </xf>
    <xf numFmtId="0" fontId="11" fillId="0" borderId="85" xfId="0" applyFont="1" applyBorder="1" applyAlignment="1">
      <alignment vertical="center"/>
    </xf>
    <xf numFmtId="0" fontId="11" fillId="0" borderId="86" xfId="0" applyFont="1" applyBorder="1" applyAlignment="1">
      <alignment vertical="center"/>
    </xf>
    <xf numFmtId="165" fontId="11" fillId="0" borderId="85" xfId="4" applyNumberFormat="1" applyFont="1" applyBorder="1" applyAlignment="1">
      <alignment vertical="center"/>
    </xf>
    <xf numFmtId="165" fontId="11" fillId="0" borderId="86" xfId="4" applyNumberFormat="1" applyFont="1" applyBorder="1" applyAlignment="1">
      <alignment vertical="center"/>
    </xf>
    <xf numFmtId="0" fontId="12" fillId="0" borderId="39" xfId="0" applyFont="1" applyBorder="1"/>
    <xf numFmtId="37" fontId="22" fillId="0" borderId="0" xfId="0" applyNumberFormat="1" applyFont="1"/>
    <xf numFmtId="0" fontId="22" fillId="0" borderId="0" xfId="0" applyFont="1"/>
    <xf numFmtId="166" fontId="10" fillId="3" borderId="66" xfId="0" applyNumberFormat="1" applyFont="1" applyFill="1" applyBorder="1" applyAlignment="1">
      <alignment horizontal="right" vertical="center"/>
    </xf>
    <xf numFmtId="0" fontId="17" fillId="3" borderId="67" xfId="0" applyFont="1" applyFill="1" applyBorder="1" applyAlignment="1">
      <alignment horizontal="center" vertical="center"/>
    </xf>
    <xf numFmtId="0" fontId="10" fillId="3" borderId="68" xfId="0" applyFont="1" applyFill="1" applyBorder="1" applyAlignment="1">
      <alignment vertical="center"/>
    </xf>
    <xf numFmtId="0" fontId="10" fillId="3" borderId="69" xfId="0" applyFont="1" applyFill="1" applyBorder="1" applyAlignment="1">
      <alignment vertical="center"/>
    </xf>
    <xf numFmtId="165" fontId="10" fillId="3" borderId="70" xfId="4" applyNumberFormat="1" applyFont="1" applyFill="1" applyBorder="1" applyAlignment="1">
      <alignment vertical="center"/>
    </xf>
    <xf numFmtId="165" fontId="10" fillId="3" borderId="71" xfId="4" applyNumberFormat="1" applyFont="1" applyFill="1" applyBorder="1" applyAlignment="1">
      <alignment vertical="center"/>
    </xf>
    <xf numFmtId="165" fontId="10" fillId="3" borderId="69" xfId="4" applyNumberFormat="1" applyFont="1" applyFill="1" applyBorder="1" applyAlignment="1">
      <alignment vertical="center"/>
    </xf>
    <xf numFmtId="165" fontId="10" fillId="3" borderId="66" xfId="4" applyNumberFormat="1" applyFont="1" applyFill="1" applyBorder="1" applyAlignment="1">
      <alignment vertical="center"/>
    </xf>
    <xf numFmtId="165" fontId="10" fillId="3" borderId="72" xfId="4" applyNumberFormat="1" applyFont="1" applyFill="1" applyBorder="1" applyAlignment="1">
      <alignment vertical="center"/>
    </xf>
    <xf numFmtId="38" fontId="10" fillId="3" borderId="72" xfId="0" applyNumberFormat="1" applyFont="1" applyFill="1" applyBorder="1" applyAlignment="1">
      <alignment horizontal="left" vertical="center"/>
    </xf>
    <xf numFmtId="165" fontId="10" fillId="0" borderId="0" xfId="4" applyNumberFormat="1" applyFont="1"/>
    <xf numFmtId="0" fontId="22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10" fillId="0" borderId="0" xfId="0" applyFont="1"/>
    <xf numFmtId="166" fontId="40" fillId="4" borderId="40" xfId="0" applyNumberFormat="1" applyFont="1" applyFill="1" applyBorder="1" applyAlignment="1">
      <alignment horizontal="right" vertical="center"/>
    </xf>
    <xf numFmtId="0" fontId="41" fillId="4" borderId="41" xfId="0" applyFont="1" applyFill="1" applyBorder="1" applyAlignment="1">
      <alignment horizontal="center" vertical="center"/>
    </xf>
    <xf numFmtId="0" fontId="40" fillId="4" borderId="41" xfId="0" applyFont="1" applyFill="1" applyBorder="1" applyAlignment="1">
      <alignment vertical="center"/>
    </xf>
    <xf numFmtId="166" fontId="40" fillId="4" borderId="42" xfId="0" applyNumberFormat="1" applyFont="1" applyFill="1" applyBorder="1" applyAlignment="1">
      <alignment horizontal="left" vertical="center"/>
    </xf>
    <xf numFmtId="10" fontId="40" fillId="4" borderId="92" xfId="3" applyNumberFormat="1" applyFont="1" applyFill="1" applyBorder="1" applyAlignment="1">
      <alignment horizontal="center" vertical="center"/>
    </xf>
    <xf numFmtId="10" fontId="40" fillId="4" borderId="93" xfId="3" applyNumberFormat="1" applyFont="1" applyFill="1" applyBorder="1" applyAlignment="1">
      <alignment horizontal="center" vertical="center"/>
    </xf>
    <xf numFmtId="165" fontId="40" fillId="4" borderId="0" xfId="4" applyNumberFormat="1" applyFont="1" applyFill="1" applyBorder="1" applyAlignment="1">
      <alignment vertical="center"/>
    </xf>
    <xf numFmtId="38" fontId="40" fillId="4" borderId="25" xfId="0" applyNumberFormat="1" applyFont="1" applyFill="1" applyBorder="1" applyAlignment="1">
      <alignment horizontal="left" vertical="center"/>
    </xf>
    <xf numFmtId="165" fontId="40" fillId="0" borderId="0" xfId="4" applyNumberFormat="1" applyFont="1"/>
    <xf numFmtId="165" fontId="42" fillId="0" borderId="0" xfId="2" applyNumberFormat="1" applyFont="1"/>
    <xf numFmtId="165" fontId="42" fillId="0" borderId="0" xfId="0" applyNumberFormat="1" applyFont="1"/>
    <xf numFmtId="0" fontId="40" fillId="0" borderId="0" xfId="0" applyFont="1"/>
    <xf numFmtId="0" fontId="44" fillId="0" borderId="0" xfId="0" applyFont="1" applyFill="1" applyBorder="1" applyAlignment="1"/>
    <xf numFmtId="166" fontId="44" fillId="0" borderId="0" xfId="0" applyNumberFormat="1" applyFont="1" applyFill="1" applyBorder="1" applyAlignment="1">
      <alignment horizontal="right"/>
    </xf>
    <xf numFmtId="10" fontId="44" fillId="0" borderId="0" xfId="3" applyNumberFormat="1" applyFont="1" applyFill="1" applyBorder="1" applyAlignment="1"/>
    <xf numFmtId="164" fontId="44" fillId="0" borderId="0" xfId="3" applyNumberFormat="1" applyFont="1" applyFill="1" applyBorder="1" applyAlignment="1"/>
    <xf numFmtId="165" fontId="44" fillId="0" borderId="0" xfId="3" applyNumberFormat="1" applyFont="1" applyFill="1" applyBorder="1" applyAlignment="1"/>
    <xf numFmtId="165" fontId="44" fillId="0" borderId="97" xfId="3" applyNumberFormat="1" applyFont="1" applyFill="1" applyBorder="1" applyAlignment="1"/>
    <xf numFmtId="10" fontId="44" fillId="0" borderId="97" xfId="3" applyNumberFormat="1" applyFont="1" applyFill="1" applyBorder="1" applyAlignment="1"/>
    <xf numFmtId="43" fontId="22" fillId="0" borderId="97" xfId="6" applyFont="1" applyFill="1" applyBorder="1" applyAlignment="1"/>
    <xf numFmtId="0" fontId="44" fillId="0" borderId="0" xfId="0" applyFont="1" applyFill="1" applyAlignment="1"/>
    <xf numFmtId="166" fontId="28" fillId="0" borderId="0" xfId="0" applyNumberFormat="1" applyFont="1" applyAlignment="1">
      <alignment horizontal="right" vertical="center"/>
    </xf>
    <xf numFmtId="0" fontId="18" fillId="3" borderId="9" xfId="0" applyFont="1" applyFill="1" applyBorder="1"/>
    <xf numFmtId="0" fontId="0" fillId="3" borderId="10" xfId="0" applyFill="1" applyBorder="1"/>
    <xf numFmtId="0" fontId="18" fillId="3" borderId="80" xfId="0" applyFont="1" applyFill="1" applyBorder="1"/>
    <xf numFmtId="165" fontId="18" fillId="3" borderId="9" xfId="4" applyNumberFormat="1" applyFont="1" applyFill="1" applyBorder="1"/>
    <xf numFmtId="165" fontId="18" fillId="3" borderId="10" xfId="4" applyNumberFormat="1" applyFont="1" applyFill="1" applyBorder="1"/>
    <xf numFmtId="165" fontId="18" fillId="3" borderId="80" xfId="4" applyNumberFormat="1" applyFont="1" applyFill="1" applyBorder="1"/>
    <xf numFmtId="0" fontId="18" fillId="3" borderId="7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45" fillId="0" borderId="3" xfId="0" applyFont="1" applyFill="1" applyBorder="1" applyAlignment="1">
      <alignment horizontal="center"/>
    </xf>
    <xf numFmtId="165" fontId="18" fillId="0" borderId="75" xfId="0" applyNumberFormat="1" applyFont="1" applyFill="1" applyBorder="1" applyAlignment="1">
      <alignment horizontal="center"/>
    </xf>
    <xf numFmtId="0" fontId="47" fillId="3" borderId="16" xfId="0" applyFont="1" applyFill="1" applyBorder="1" applyAlignment="1">
      <alignment vertical="top"/>
    </xf>
    <xf numFmtId="0" fontId="47" fillId="3" borderId="17" xfId="0" applyFont="1" applyFill="1" applyBorder="1" applyAlignment="1">
      <alignment vertical="top"/>
    </xf>
    <xf numFmtId="0" fontId="47" fillId="3" borderId="81" xfId="0" applyFont="1" applyFill="1" applyBorder="1" applyAlignment="1">
      <alignment vertical="top"/>
    </xf>
    <xf numFmtId="10" fontId="47" fillId="3" borderId="16" xfId="0" applyNumberFormat="1" applyFont="1" applyFill="1" applyBorder="1" applyAlignment="1">
      <alignment vertical="top"/>
    </xf>
    <xf numFmtId="10" fontId="47" fillId="3" borderId="17" xfId="0" applyNumberFormat="1" applyFont="1" applyFill="1" applyBorder="1" applyAlignment="1">
      <alignment vertical="top"/>
    </xf>
    <xf numFmtId="10" fontId="47" fillId="3" borderId="81" xfId="0" applyNumberFormat="1" applyFont="1" applyFill="1" applyBorder="1" applyAlignment="1">
      <alignment vertical="top"/>
    </xf>
    <xf numFmtId="165" fontId="21" fillId="3" borderId="47" xfId="2" applyNumberFormat="1" applyFont="1" applyFill="1" applyBorder="1"/>
    <xf numFmtId="165" fontId="21" fillId="3" borderId="48" xfId="4" applyNumberFormat="1" applyFont="1" applyFill="1" applyBorder="1"/>
    <xf numFmtId="0" fontId="28" fillId="3" borderId="46" xfId="0" applyFont="1" applyFill="1" applyBorder="1"/>
    <xf numFmtId="164" fontId="21" fillId="3" borderId="47" xfId="1" applyNumberFormat="1" applyFont="1" applyFill="1" applyBorder="1"/>
    <xf numFmtId="164" fontId="21" fillId="3" borderId="48" xfId="4" applyNumberFormat="1" applyFont="1" applyFill="1" applyBorder="1"/>
    <xf numFmtId="164" fontId="21" fillId="3" borderId="29" xfId="1" applyNumberFormat="1" applyFont="1" applyFill="1" applyBorder="1"/>
    <xf numFmtId="164" fontId="21" fillId="3" borderId="76" xfId="0" applyNumberFormat="1" applyFont="1" applyFill="1" applyBorder="1"/>
    <xf numFmtId="0" fontId="28" fillId="3" borderId="14" xfId="0" applyFont="1" applyFill="1" applyBorder="1"/>
    <xf numFmtId="38" fontId="21" fillId="3" borderId="76" xfId="0" applyNumberFormat="1" applyFont="1" applyFill="1" applyBorder="1"/>
    <xf numFmtId="164" fontId="21" fillId="3" borderId="29" xfId="1" applyNumberFormat="1" applyFont="1" applyFill="1" applyBorder="1" applyAlignment="1">
      <alignment vertical="center"/>
    </xf>
    <xf numFmtId="38" fontId="21" fillId="6" borderId="76" xfId="0" applyNumberFormat="1" applyFont="1" applyFill="1" applyBorder="1" applyAlignment="1">
      <alignment vertical="center"/>
    </xf>
    <xf numFmtId="0" fontId="28" fillId="3" borderId="14" xfId="0" applyFont="1" applyFill="1" applyBorder="1" applyAlignment="1">
      <alignment vertical="center"/>
    </xf>
    <xf numFmtId="38" fontId="22" fillId="3" borderId="76" xfId="0" applyNumberFormat="1" applyFont="1" applyFill="1" applyBorder="1" applyAlignment="1">
      <alignment vertical="center"/>
    </xf>
    <xf numFmtId="44" fontId="43" fillId="0" borderId="0" xfId="4" applyFont="1" applyFill="1" applyBorder="1" applyAlignment="1">
      <alignment vertical="center"/>
    </xf>
    <xf numFmtId="0" fontId="43" fillId="0" borderId="0" xfId="0" applyFont="1" applyAlignment="1">
      <alignment vertical="center"/>
    </xf>
    <xf numFmtId="38" fontId="18" fillId="3" borderId="76" xfId="0" applyNumberFormat="1" applyFont="1" applyFill="1" applyBorder="1"/>
    <xf numFmtId="44" fontId="18" fillId="0" borderId="0" xfId="4" applyFont="1" applyFill="1" applyBorder="1"/>
    <xf numFmtId="0" fontId="49" fillId="0" borderId="0" xfId="0" applyFont="1"/>
    <xf numFmtId="44" fontId="21" fillId="0" borderId="0" xfId="4" applyFont="1" applyFill="1" applyBorder="1"/>
    <xf numFmtId="164" fontId="0" fillId="0" borderId="0" xfId="1" applyNumberFormat="1" applyFont="1"/>
    <xf numFmtId="165" fontId="22" fillId="6" borderId="72" xfId="2" applyNumberFormat="1" applyFont="1" applyFill="1" applyBorder="1" applyAlignment="1">
      <alignment vertical="center"/>
    </xf>
    <xf numFmtId="165" fontId="22" fillId="6" borderId="106" xfId="2" applyNumberFormat="1" applyFont="1" applyFill="1" applyBorder="1" applyAlignment="1">
      <alignment vertical="center"/>
    </xf>
    <xf numFmtId="168" fontId="22" fillId="6" borderId="66" xfId="0" applyNumberFormat="1" applyFont="1" applyFill="1" applyBorder="1" applyAlignment="1">
      <alignment vertical="center"/>
    </xf>
    <xf numFmtId="168" fontId="22" fillId="6" borderId="106" xfId="0" applyNumberFormat="1" applyFont="1" applyFill="1" applyBorder="1" applyAlignment="1">
      <alignment vertical="center"/>
    </xf>
    <xf numFmtId="168" fontId="31" fillId="0" borderId="0" xfId="6" applyNumberFormat="1" applyFont="1" applyFill="1" applyBorder="1" applyAlignment="1">
      <alignment vertical="center"/>
    </xf>
    <xf numFmtId="168" fontId="22" fillId="0" borderId="0" xfId="4" applyNumberFormat="1" applyFont="1" applyFill="1" applyBorder="1" applyAlignment="1">
      <alignment vertical="center"/>
    </xf>
    <xf numFmtId="168" fontId="43" fillId="0" borderId="0" xfId="0" applyNumberFormat="1" applyFont="1" applyAlignment="1">
      <alignment vertical="center"/>
    </xf>
    <xf numFmtId="165" fontId="11" fillId="0" borderId="0" xfId="4" applyNumberFormat="1" applyFont="1" applyFill="1" applyBorder="1" applyAlignment="1">
      <alignment vertical="center"/>
    </xf>
    <xf numFmtId="165" fontId="34" fillId="0" borderId="0" xfId="4" applyNumberFormat="1" applyFont="1" applyFill="1" applyBorder="1" applyAlignment="1">
      <alignment vertical="center"/>
    </xf>
    <xf numFmtId="165" fontId="28" fillId="0" borderId="0" xfId="0" applyNumberFormat="1" applyFont="1" applyFill="1" applyBorder="1"/>
    <xf numFmtId="10" fontId="22" fillId="0" borderId="0" xfId="0" applyNumberFormat="1" applyFont="1" applyFill="1" applyBorder="1" applyAlignment="1">
      <alignment horizontal="center"/>
    </xf>
    <xf numFmtId="43" fontId="0" fillId="0" borderId="0" xfId="0" applyNumberFormat="1"/>
    <xf numFmtId="0" fontId="0" fillId="0" borderId="0" xfId="0" applyBorder="1" applyAlignment="1">
      <alignment horizontal="left" vertical="center"/>
    </xf>
    <xf numFmtId="165" fontId="29" fillId="0" borderId="0" xfId="2" applyNumberFormat="1" applyFont="1"/>
    <xf numFmtId="0" fontId="28" fillId="0" borderId="0" xfId="0" applyFont="1" applyFill="1" applyBorder="1"/>
    <xf numFmtId="0" fontId="18" fillId="0" borderId="0" xfId="0" applyFont="1"/>
    <xf numFmtId="0" fontId="18" fillId="0" borderId="0" xfId="0" applyFont="1" applyAlignment="1">
      <alignment horizontal="right"/>
    </xf>
    <xf numFmtId="0" fontId="45" fillId="0" borderId="0" xfId="0" applyFont="1" applyFill="1" applyBorder="1" applyAlignment="1">
      <alignment vertical="center"/>
    </xf>
    <xf numFmtId="165" fontId="18" fillId="0" borderId="0" xfId="2" applyNumberFormat="1" applyFont="1" applyBorder="1"/>
    <xf numFmtId="165" fontId="18" fillId="0" borderId="0" xfId="4" applyNumberFormat="1" applyFont="1" applyBorder="1"/>
    <xf numFmtId="0" fontId="18" fillId="0" borderId="0" xfId="0" applyFont="1" applyBorder="1"/>
    <xf numFmtId="164" fontId="18" fillId="0" borderId="0" xfId="0" applyNumberFormat="1" applyFont="1" applyBorder="1"/>
    <xf numFmtId="0" fontId="21" fillId="0" borderId="0" xfId="0" applyFont="1" applyBorder="1" applyAlignment="1"/>
    <xf numFmtId="165" fontId="21" fillId="0" borderId="0" xfId="4" applyNumberFormat="1" applyFont="1" applyBorder="1"/>
    <xf numFmtId="10" fontId="21" fillId="0" borderId="0" xfId="0" applyNumberFormat="1" applyFont="1" applyBorder="1"/>
    <xf numFmtId="42" fontId="21" fillId="0" borderId="0" xfId="0" applyNumberFormat="1" applyFont="1"/>
    <xf numFmtId="165" fontId="21" fillId="0" borderId="0" xfId="0" applyNumberFormat="1" applyFont="1"/>
    <xf numFmtId="0" fontId="18" fillId="3" borderId="7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/>
    </xf>
    <xf numFmtId="0" fontId="21" fillId="3" borderId="23" xfId="0" applyFont="1" applyFill="1" applyBorder="1"/>
    <xf numFmtId="0" fontId="21" fillId="3" borderId="43" xfId="0" applyFont="1" applyFill="1" applyBorder="1"/>
    <xf numFmtId="0" fontId="21" fillId="3" borderId="45" xfId="0" applyFont="1" applyFill="1" applyBorder="1"/>
    <xf numFmtId="165" fontId="25" fillId="3" borderId="44" xfId="4" applyNumberFormat="1" applyFont="1" applyFill="1" applyBorder="1"/>
    <xf numFmtId="10" fontId="33" fillId="3" borderId="45" xfId="0" applyNumberFormat="1" applyFont="1" applyFill="1" applyBorder="1" applyAlignment="1">
      <alignment horizontal="center"/>
    </xf>
    <xf numFmtId="165" fontId="25" fillId="3" borderId="45" xfId="4" applyNumberFormat="1" applyFont="1" applyFill="1" applyBorder="1"/>
    <xf numFmtId="42" fontId="25" fillId="3" borderId="45" xfId="4" applyNumberFormat="1" applyFont="1" applyFill="1" applyBorder="1"/>
    <xf numFmtId="10" fontId="33" fillId="3" borderId="105" xfId="3" applyNumberFormat="1" applyFont="1" applyFill="1" applyBorder="1" applyAlignment="1">
      <alignment horizontal="center"/>
    </xf>
    <xf numFmtId="165" fontId="25" fillId="0" borderId="52" xfId="4" applyNumberFormat="1" applyFont="1" applyFill="1" applyBorder="1"/>
    <xf numFmtId="165" fontId="25" fillId="0" borderId="0" xfId="4" applyNumberFormat="1" applyFont="1" applyFill="1" applyBorder="1"/>
    <xf numFmtId="0" fontId="21" fillId="3" borderId="49" xfId="0" applyFont="1" applyFill="1" applyBorder="1"/>
    <xf numFmtId="0" fontId="21" fillId="3" borderId="27" xfId="0" applyFont="1" applyFill="1" applyBorder="1"/>
    <xf numFmtId="38" fontId="25" fillId="3" borderId="28" xfId="0" applyNumberFormat="1" applyFont="1" applyFill="1" applyBorder="1"/>
    <xf numFmtId="10" fontId="33" fillId="3" borderId="27" xfId="0" applyNumberFormat="1" applyFont="1" applyFill="1" applyBorder="1" applyAlignment="1">
      <alignment horizontal="center"/>
    </xf>
    <xf numFmtId="164" fontId="25" fillId="3" borderId="27" xfId="6" applyNumberFormat="1" applyFont="1" applyFill="1" applyBorder="1"/>
    <xf numFmtId="164" fontId="25" fillId="3" borderId="27" xfId="1" applyNumberFormat="1" applyFont="1" applyFill="1" applyBorder="1"/>
    <xf numFmtId="164" fontId="25" fillId="0" borderId="0" xfId="6" applyNumberFormat="1" applyFont="1" applyFill="1" applyBorder="1"/>
    <xf numFmtId="10" fontId="33" fillId="3" borderId="82" xfId="3" applyNumberFormat="1" applyFont="1" applyFill="1" applyBorder="1" applyAlignment="1">
      <alignment horizontal="center"/>
    </xf>
    <xf numFmtId="0" fontId="21" fillId="3" borderId="84" xfId="0" applyFont="1" applyFill="1" applyBorder="1"/>
    <xf numFmtId="164" fontId="25" fillId="3" borderId="19" xfId="6" applyNumberFormat="1" applyFont="1" applyFill="1" applyBorder="1"/>
    <xf numFmtId="0" fontId="0" fillId="3" borderId="23" xfId="0" applyFill="1" applyBorder="1"/>
    <xf numFmtId="0" fontId="0" fillId="3" borderId="65" xfId="0" applyFill="1" applyBorder="1"/>
    <xf numFmtId="165" fontId="22" fillId="3" borderId="65" xfId="4" applyNumberFormat="1" applyFont="1" applyFill="1" applyBorder="1"/>
    <xf numFmtId="10" fontId="33" fillId="3" borderId="65" xfId="0" applyNumberFormat="1" applyFont="1" applyFill="1" applyBorder="1" applyAlignment="1">
      <alignment horizontal="center"/>
    </xf>
    <xf numFmtId="165" fontId="22" fillId="0" borderId="0" xfId="4" applyNumberFormat="1" applyFont="1" applyFill="1" applyBorder="1"/>
    <xf numFmtId="0" fontId="22" fillId="3" borderId="107" xfId="0" applyFont="1" applyFill="1" applyBorder="1"/>
    <xf numFmtId="0" fontId="22" fillId="3" borderId="108" xfId="0" applyFont="1" applyFill="1" applyBorder="1"/>
    <xf numFmtId="165" fontId="22" fillId="3" borderId="109" xfId="0" applyNumberFormat="1" applyFont="1" applyFill="1" applyBorder="1"/>
    <xf numFmtId="9" fontId="22" fillId="3" borderId="109" xfId="3" applyFont="1" applyFill="1" applyBorder="1" applyAlignment="1">
      <alignment horizontal="center" vertical="center"/>
    </xf>
    <xf numFmtId="10" fontId="22" fillId="3" borderId="110" xfId="3" applyNumberFormat="1" applyFont="1" applyFill="1" applyBorder="1" applyAlignment="1">
      <alignment horizontal="center"/>
    </xf>
    <xf numFmtId="165" fontId="22" fillId="0" borderId="0" xfId="0" applyNumberFormat="1" applyFont="1" applyFill="1" applyBorder="1"/>
    <xf numFmtId="10" fontId="0" fillId="0" borderId="0" xfId="0" applyNumberFormat="1"/>
    <xf numFmtId="10" fontId="0" fillId="0" borderId="0" xfId="3" applyNumberFormat="1" applyFont="1"/>
    <xf numFmtId="169" fontId="0" fillId="0" borderId="0" xfId="3" applyNumberFormat="1" applyFont="1"/>
    <xf numFmtId="170" fontId="0" fillId="0" borderId="0" xfId="0" applyNumberFormat="1"/>
    <xf numFmtId="0" fontId="3" fillId="7" borderId="49" xfId="0" applyFont="1" applyFill="1" applyBorder="1" applyAlignment="1">
      <alignment horizontal="center"/>
    </xf>
    <xf numFmtId="0" fontId="20" fillId="7" borderId="19" xfId="0" applyFont="1" applyFill="1" applyBorder="1" applyAlignment="1">
      <alignment horizontal="left"/>
    </xf>
    <xf numFmtId="0" fontId="20" fillId="7" borderId="20" xfId="0" applyFont="1" applyFill="1" applyBorder="1" applyAlignment="1">
      <alignment horizontal="left"/>
    </xf>
    <xf numFmtId="164" fontId="20" fillId="7" borderId="18" xfId="5" applyNumberFormat="1" applyFont="1" applyFill="1" applyBorder="1"/>
    <xf numFmtId="164" fontId="20" fillId="7" borderId="19" xfId="5" applyNumberFormat="1" applyFont="1" applyFill="1" applyBorder="1"/>
    <xf numFmtId="164" fontId="20" fillId="7" borderId="20" xfId="5" applyNumberFormat="1" applyFont="1" applyFill="1" applyBorder="1"/>
    <xf numFmtId="164" fontId="20" fillId="7" borderId="29" xfId="5" applyNumberFormat="1" applyFont="1" applyFill="1" applyBorder="1"/>
    <xf numFmtId="164" fontId="20" fillId="7" borderId="76" xfId="5" applyNumberFormat="1" applyFont="1" applyFill="1" applyBorder="1"/>
    <xf numFmtId="164" fontId="20" fillId="7" borderId="24" xfId="5" applyNumberFormat="1" applyFont="1" applyFill="1" applyBorder="1"/>
    <xf numFmtId="0" fontId="3" fillId="7" borderId="0" xfId="0" applyFont="1" applyFill="1" applyBorder="1" applyAlignment="1">
      <alignment horizontal="center"/>
    </xf>
    <xf numFmtId="0" fontId="13" fillId="7" borderId="25" xfId="0" applyFont="1" applyFill="1" applyBorder="1"/>
    <xf numFmtId="164" fontId="20" fillId="7" borderId="48" xfId="5" applyNumberFormat="1" applyFont="1" applyFill="1" applyBorder="1"/>
    <xf numFmtId="164" fontId="20" fillId="7" borderId="47" xfId="5" applyNumberFormat="1" applyFont="1" applyFill="1" applyBorder="1"/>
    <xf numFmtId="0" fontId="20" fillId="7" borderId="28" xfId="0" applyFont="1" applyFill="1" applyBorder="1" applyAlignment="1">
      <alignment horizontal="left"/>
    </xf>
    <xf numFmtId="164" fontId="20" fillId="7" borderId="9" xfId="5" applyNumberFormat="1" applyFont="1" applyFill="1" applyBorder="1"/>
    <xf numFmtId="164" fontId="20" fillId="7" borderId="27" xfId="5" applyNumberFormat="1" applyFont="1" applyFill="1" applyBorder="1"/>
    <xf numFmtId="164" fontId="20" fillId="7" borderId="28" xfId="5" applyNumberFormat="1" applyFont="1" applyFill="1" applyBorder="1"/>
    <xf numFmtId="164" fontId="20" fillId="7" borderId="12" xfId="5" applyNumberFormat="1" applyFont="1" applyFill="1" applyBorder="1"/>
    <xf numFmtId="0" fontId="13" fillId="7" borderId="29" xfId="0" applyFont="1" applyFill="1" applyBorder="1"/>
    <xf numFmtId="0" fontId="3" fillId="7" borderId="79" xfId="0" applyFont="1" applyFill="1" applyBorder="1" applyAlignment="1">
      <alignment horizontal="center"/>
    </xf>
    <xf numFmtId="0" fontId="20" fillId="7" borderId="10" xfId="0" applyFont="1" applyFill="1" applyBorder="1" applyAlignment="1">
      <alignment horizontal="left"/>
    </xf>
    <xf numFmtId="0" fontId="35" fillId="7" borderId="80" xfId="0" applyFont="1" applyFill="1" applyBorder="1" applyAlignment="1">
      <alignment horizontal="left"/>
    </xf>
    <xf numFmtId="164" fontId="20" fillId="7" borderId="10" xfId="5" applyNumberFormat="1" applyFont="1" applyFill="1" applyBorder="1"/>
    <xf numFmtId="164" fontId="20" fillId="7" borderId="80" xfId="5" applyNumberFormat="1" applyFont="1" applyFill="1" applyBorder="1"/>
    <xf numFmtId="164" fontId="20" fillId="7" borderId="13" xfId="5" applyNumberFormat="1" applyFont="1" applyFill="1" applyBorder="1"/>
    <xf numFmtId="0" fontId="13" fillId="7" borderId="12" xfId="0" applyFont="1" applyFill="1" applyBorder="1"/>
    <xf numFmtId="0" fontId="3" fillId="8" borderId="49" xfId="0" applyFont="1" applyFill="1" applyBorder="1" applyAlignment="1">
      <alignment horizontal="center"/>
    </xf>
    <xf numFmtId="164" fontId="20" fillId="8" borderId="26" xfId="6" applyNumberFormat="1" applyFont="1" applyFill="1" applyBorder="1"/>
    <xf numFmtId="164" fontId="20" fillId="8" borderId="53" xfId="6" applyNumberFormat="1" applyFont="1" applyFill="1" applyBorder="1"/>
    <xf numFmtId="164" fontId="20" fillId="8" borderId="29" xfId="6" applyNumberFormat="1" applyFont="1" applyFill="1" applyBorder="1"/>
    <xf numFmtId="164" fontId="20" fillId="8" borderId="83" xfId="6" applyNumberFormat="1" applyFont="1" applyFill="1" applyBorder="1"/>
    <xf numFmtId="164" fontId="20" fillId="8" borderId="84" xfId="6" applyNumberFormat="1" applyFont="1" applyFill="1" applyBorder="1"/>
    <xf numFmtId="0" fontId="13" fillId="8" borderId="29" xfId="0" applyFont="1" applyFill="1" applyBorder="1"/>
    <xf numFmtId="164" fontId="20" fillId="8" borderId="19" xfId="5" applyNumberFormat="1" applyFont="1" applyFill="1" applyBorder="1"/>
    <xf numFmtId="164" fontId="20" fillId="8" borderId="73" xfId="5" applyNumberFormat="1" applyFont="1" applyFill="1" applyBorder="1"/>
    <xf numFmtId="164" fontId="20" fillId="8" borderId="54" xfId="5" applyNumberFormat="1" applyFont="1" applyFill="1" applyBorder="1"/>
    <xf numFmtId="164" fontId="20" fillId="8" borderId="29" xfId="5" applyNumberFormat="1" applyFont="1" applyFill="1" applyBorder="1"/>
    <xf numFmtId="42" fontId="0" fillId="0" borderId="0" xfId="0" applyNumberFormat="1"/>
    <xf numFmtId="0" fontId="0" fillId="5" borderId="0" xfId="0" applyFill="1" applyBorder="1"/>
    <xf numFmtId="166" fontId="28" fillId="5" borderId="0" xfId="0" applyNumberFormat="1" applyFont="1" applyFill="1" applyBorder="1" applyAlignment="1">
      <alignment horizontal="right" vertical="center"/>
    </xf>
    <xf numFmtId="0" fontId="11" fillId="5" borderId="0" xfId="0" applyFont="1" applyFill="1" applyBorder="1" applyAlignment="1">
      <alignment vertical="center"/>
    </xf>
    <xf numFmtId="0" fontId="31" fillId="5" borderId="0" xfId="0" applyFont="1" applyFill="1" applyBorder="1" applyAlignment="1">
      <alignment horizontal="right" vertical="center"/>
    </xf>
    <xf numFmtId="0" fontId="19" fillId="5" borderId="0" xfId="0" applyFont="1" applyFill="1" applyBorder="1"/>
    <xf numFmtId="166" fontId="3" fillId="5" borderId="0" xfId="0" applyNumberFormat="1" applyFont="1" applyFill="1" applyBorder="1" applyAlignment="1">
      <alignment horizontal="right" vertical="center"/>
    </xf>
    <xf numFmtId="0" fontId="20" fillId="5" borderId="0" xfId="0" applyFont="1" applyFill="1" applyBorder="1"/>
    <xf numFmtId="168" fontId="11" fillId="5" borderId="0" xfId="0" applyNumberFormat="1" applyFont="1" applyFill="1" applyBorder="1" applyAlignment="1">
      <alignment vertical="center"/>
    </xf>
    <xf numFmtId="168" fontId="31" fillId="5" borderId="0" xfId="0" applyNumberFormat="1" applyFont="1" applyFill="1" applyBorder="1" applyAlignment="1">
      <alignment horizontal="right" vertical="center"/>
    </xf>
    <xf numFmtId="0" fontId="0" fillId="5" borderId="0" xfId="0" applyFill="1" applyBorder="1" applyAlignment="1">
      <alignment vertical="center"/>
    </xf>
    <xf numFmtId="0" fontId="50" fillId="5" borderId="0" xfId="0" applyFont="1" applyFill="1" applyBorder="1" applyAlignment="1">
      <alignment vertical="center"/>
    </xf>
    <xf numFmtId="0" fontId="34" fillId="5" borderId="0" xfId="0" applyFont="1" applyFill="1" applyBorder="1" applyAlignment="1">
      <alignment horizontal="left" vertical="center"/>
    </xf>
    <xf numFmtId="165" fontId="20" fillId="5" borderId="0" xfId="2" applyNumberFormat="1" applyFont="1" applyFill="1" applyBorder="1" applyAlignment="1">
      <alignment horizontal="left" vertical="center"/>
    </xf>
    <xf numFmtId="0" fontId="20" fillId="5" borderId="0" xfId="0" applyFont="1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33" fillId="5" borderId="101" xfId="0" applyFont="1" applyFill="1" applyBorder="1" applyAlignment="1">
      <alignment vertical="center"/>
    </xf>
    <xf numFmtId="10" fontId="48" fillId="5" borderId="0" xfId="0" applyNumberFormat="1" applyFont="1" applyFill="1" applyBorder="1"/>
    <xf numFmtId="10" fontId="48" fillId="5" borderId="2" xfId="0" applyNumberFormat="1" applyFont="1" applyFill="1" applyBorder="1"/>
    <xf numFmtId="0" fontId="23" fillId="0" borderId="111" xfId="0" applyFont="1" applyBorder="1" applyAlignment="1">
      <alignment horizontal="left" vertical="center"/>
    </xf>
    <xf numFmtId="0" fontId="22" fillId="2" borderId="6" xfId="0" applyFont="1" applyFill="1" applyBorder="1" applyAlignment="1">
      <alignment vertical="center"/>
    </xf>
    <xf numFmtId="0" fontId="20" fillId="8" borderId="0" xfId="0" applyFont="1" applyFill="1" applyBorder="1" applyAlignment="1">
      <alignment horizontal="left"/>
    </xf>
    <xf numFmtId="0" fontId="21" fillId="8" borderId="0" xfId="0" applyFont="1" applyFill="1"/>
    <xf numFmtId="164" fontId="20" fillId="7" borderId="53" xfId="5" applyNumberFormat="1" applyFont="1" applyFill="1" applyBorder="1"/>
    <xf numFmtId="44" fontId="0" fillId="0" borderId="0" xfId="0" applyNumberFormat="1"/>
    <xf numFmtId="10" fontId="55" fillId="0" borderId="0" xfId="0" applyNumberFormat="1" applyFont="1"/>
    <xf numFmtId="43" fontId="55" fillId="0" borderId="0" xfId="0" applyNumberFormat="1" applyFont="1"/>
    <xf numFmtId="0" fontId="55" fillId="0" borderId="0" xfId="0" applyFont="1"/>
    <xf numFmtId="165" fontId="55" fillId="0" borderId="0" xfId="0" applyNumberFormat="1" applyFont="1"/>
    <xf numFmtId="171" fontId="55" fillId="0" borderId="0" xfId="0" applyNumberFormat="1" applyFont="1"/>
    <xf numFmtId="167" fontId="55" fillId="0" borderId="0" xfId="3" applyNumberFormat="1" applyFont="1"/>
    <xf numFmtId="44" fontId="55" fillId="0" borderId="0" xfId="0" applyNumberFormat="1" applyFont="1"/>
    <xf numFmtId="165" fontId="25" fillId="3" borderId="74" xfId="4" applyNumberFormat="1" applyFont="1" applyFill="1" applyBorder="1"/>
    <xf numFmtId="10" fontId="33" fillId="3" borderId="73" xfId="3" applyNumberFormat="1" applyFont="1" applyFill="1" applyBorder="1" applyAlignment="1">
      <alignment horizontal="center"/>
    </xf>
    <xf numFmtId="10" fontId="33" fillId="3" borderId="112" xfId="0" applyNumberFormat="1" applyFont="1" applyFill="1" applyBorder="1" applyAlignment="1">
      <alignment horizontal="center"/>
    </xf>
    <xf numFmtId="165" fontId="22" fillId="3" borderId="74" xfId="4" applyNumberFormat="1" applyFont="1" applyFill="1" applyBorder="1"/>
    <xf numFmtId="164" fontId="25" fillId="3" borderId="17" xfId="6" applyNumberFormat="1" applyFont="1" applyFill="1" applyBorder="1"/>
    <xf numFmtId="10" fontId="33" fillId="3" borderId="17" xfId="0" applyNumberFormat="1" applyFont="1" applyFill="1" applyBorder="1" applyAlignment="1">
      <alignment horizontal="center"/>
    </xf>
    <xf numFmtId="38" fontId="25" fillId="3" borderId="17" xfId="0" applyNumberFormat="1" applyFont="1" applyFill="1" applyBorder="1"/>
    <xf numFmtId="0" fontId="21" fillId="3" borderId="17" xfId="0" applyFont="1" applyFill="1" applyBorder="1"/>
    <xf numFmtId="0" fontId="18" fillId="3" borderId="113" xfId="0" applyFont="1" applyFill="1" applyBorder="1"/>
    <xf numFmtId="0" fontId="18" fillId="0" borderId="0" xfId="7" applyFont="1"/>
    <xf numFmtId="0" fontId="21" fillId="0" borderId="0" xfId="7"/>
    <xf numFmtId="0" fontId="18" fillId="0" borderId="7" xfId="7" applyFont="1" applyBorder="1" applyAlignment="1">
      <alignment horizontal="center" vertical="center"/>
    </xf>
    <xf numFmtId="2" fontId="18" fillId="0" borderId="7" xfId="7" applyNumberFormat="1" applyFont="1" applyBorder="1" applyAlignment="1">
      <alignment horizontal="center" vertical="center"/>
    </xf>
    <xf numFmtId="39" fontId="18" fillId="0" borderId="7" xfId="7" applyNumberFormat="1" applyFont="1" applyBorder="1" applyAlignment="1">
      <alignment horizontal="center" vertical="center"/>
    </xf>
    <xf numFmtId="10" fontId="44" fillId="0" borderId="7" xfId="8" applyNumberFormat="1" applyFont="1" applyBorder="1" applyAlignment="1">
      <alignment horizontal="center" vertical="center"/>
    </xf>
    <xf numFmtId="39" fontId="21" fillId="0" borderId="0" xfId="7" applyNumberFormat="1"/>
    <xf numFmtId="39" fontId="21" fillId="0" borderId="0" xfId="7" applyNumberFormat="1" applyFont="1"/>
    <xf numFmtId="0" fontId="18" fillId="0" borderId="55" xfId="7" applyFont="1" applyBorder="1"/>
    <xf numFmtId="164" fontId="18" fillId="0" borderId="55" xfId="9" applyNumberFormat="1" applyFont="1" applyBorder="1"/>
    <xf numFmtId="10" fontId="44" fillId="0" borderId="55" xfId="8" applyNumberFormat="1" applyFont="1" applyBorder="1"/>
    <xf numFmtId="164" fontId="21" fillId="0" borderId="0" xfId="9" applyNumberFormat="1" applyFont="1"/>
    <xf numFmtId="164" fontId="18" fillId="0" borderId="0" xfId="9" applyNumberFormat="1" applyFont="1"/>
    <xf numFmtId="0" fontId="21" fillId="0" borderId="0" xfId="7" applyFont="1"/>
    <xf numFmtId="10" fontId="44" fillId="0" borderId="0" xfId="8" applyNumberFormat="1" applyFont="1"/>
    <xf numFmtId="0" fontId="18" fillId="0" borderId="86" xfId="7" applyFont="1" applyBorder="1"/>
    <xf numFmtId="165" fontId="18" fillId="0" borderId="86" xfId="10" applyNumberFormat="1" applyFont="1" applyBorder="1" applyAlignment="1">
      <alignment horizontal="right"/>
    </xf>
    <xf numFmtId="10" fontId="44" fillId="0" borderId="86" xfId="8" applyNumberFormat="1" applyFont="1" applyBorder="1"/>
    <xf numFmtId="165" fontId="18" fillId="0" borderId="0" xfId="10" applyNumberFormat="1" applyFont="1" applyFill="1" applyBorder="1" applyAlignment="1">
      <alignment horizontal="right"/>
    </xf>
    <xf numFmtId="0" fontId="56" fillId="0" borderId="0" xfId="7" applyFont="1"/>
    <xf numFmtId="164" fontId="21" fillId="0" borderId="0" xfId="9" applyNumberFormat="1" applyFont="1" applyAlignment="1"/>
    <xf numFmtId="10" fontId="44" fillId="0" borderId="0" xfId="8" applyNumberFormat="1" applyFont="1" applyAlignment="1"/>
    <xf numFmtId="39" fontId="21" fillId="0" borderId="0" xfId="7" applyNumberFormat="1" applyFont="1" applyAlignment="1"/>
    <xf numFmtId="0" fontId="21" fillId="0" borderId="0" xfId="7" applyFont="1" applyAlignment="1"/>
    <xf numFmtId="164" fontId="18" fillId="0" borderId="0" xfId="1" applyNumberFormat="1" applyFont="1"/>
    <xf numFmtId="0" fontId="21" fillId="0" borderId="62" xfId="7" applyFont="1" applyBorder="1"/>
    <xf numFmtId="0" fontId="21" fillId="0" borderId="0" xfId="7" applyFont="1" applyBorder="1"/>
    <xf numFmtId="164" fontId="21" fillId="0" borderId="62" xfId="9" applyNumberFormat="1" applyFont="1" applyBorder="1"/>
    <xf numFmtId="164" fontId="21" fillId="0" borderId="0" xfId="9" applyNumberFormat="1" applyFont="1" applyBorder="1"/>
    <xf numFmtId="10" fontId="44" fillId="0" borderId="62" xfId="8" applyNumberFormat="1" applyFont="1" applyBorder="1"/>
    <xf numFmtId="0" fontId="21" fillId="0" borderId="0" xfId="7" applyBorder="1"/>
    <xf numFmtId="164" fontId="20" fillId="8" borderId="19" xfId="6" applyNumberFormat="1" applyFont="1" applyFill="1" applyBorder="1"/>
    <xf numFmtId="164" fontId="20" fillId="8" borderId="20" xfId="6" applyNumberFormat="1" applyFont="1" applyFill="1" applyBorder="1"/>
    <xf numFmtId="164" fontId="20" fillId="8" borderId="54" xfId="6" applyNumberFormat="1" applyFont="1" applyFill="1" applyBorder="1"/>
    <xf numFmtId="0" fontId="21" fillId="8" borderId="15" xfId="0" applyFont="1" applyFill="1" applyBorder="1"/>
    <xf numFmtId="0" fontId="21" fillId="8" borderId="76" xfId="0" applyFont="1" applyFill="1" applyBorder="1"/>
    <xf numFmtId="164" fontId="20" fillId="8" borderId="61" xfId="6" applyNumberFormat="1" applyFont="1" applyFill="1" applyBorder="1"/>
    <xf numFmtId="0" fontId="20" fillId="8" borderId="83" xfId="0" applyFont="1" applyFill="1" applyBorder="1" applyAlignment="1">
      <alignment horizontal="left"/>
    </xf>
    <xf numFmtId="0" fontId="36" fillId="8" borderId="15" xfId="0" applyFont="1" applyFill="1" applyBorder="1" applyAlignment="1">
      <alignment horizontal="left"/>
    </xf>
    <xf numFmtId="164" fontId="20" fillId="8" borderId="83" xfId="5" applyNumberFormat="1" applyFont="1" applyFill="1" applyBorder="1"/>
    <xf numFmtId="0" fontId="47" fillId="3" borderId="23" xfId="0" applyFont="1" applyFill="1" applyBorder="1" applyAlignment="1">
      <alignment vertical="top"/>
    </xf>
    <xf numFmtId="0" fontId="47" fillId="3" borderId="0" xfId="0" applyFont="1" applyFill="1" applyBorder="1" applyAlignment="1">
      <alignment vertical="top"/>
    </xf>
    <xf numFmtId="10" fontId="47" fillId="3" borderId="0" xfId="0" applyNumberFormat="1" applyFont="1" applyFill="1" applyBorder="1" applyAlignment="1">
      <alignment vertical="top"/>
    </xf>
    <xf numFmtId="10" fontId="47" fillId="3" borderId="5" xfId="0" applyNumberFormat="1" applyFont="1" applyFill="1" applyBorder="1" applyAlignment="1">
      <alignment vertical="top"/>
    </xf>
    <xf numFmtId="10" fontId="47" fillId="3" borderId="78" xfId="0" applyNumberFormat="1" applyFont="1" applyFill="1" applyBorder="1" applyAlignment="1">
      <alignment vertical="top"/>
    </xf>
    <xf numFmtId="164" fontId="20" fillId="8" borderId="26" xfId="5" applyNumberFormat="1" applyFont="1" applyFill="1" applyBorder="1"/>
    <xf numFmtId="164" fontId="25" fillId="0" borderId="22" xfId="6" applyNumberFormat="1" applyFont="1" applyBorder="1" applyAlignment="1">
      <alignment vertical="center"/>
    </xf>
    <xf numFmtId="164" fontId="25" fillId="0" borderId="52" xfId="6" applyNumberFormat="1" applyFont="1" applyBorder="1" applyAlignment="1">
      <alignment vertical="center"/>
    </xf>
    <xf numFmtId="164" fontId="21" fillId="0" borderId="24" xfId="6" applyNumberFormat="1" applyFont="1" applyBorder="1" applyAlignment="1">
      <alignment vertical="center"/>
    </xf>
    <xf numFmtId="166" fontId="26" fillId="0" borderId="24" xfId="0" applyNumberFormat="1" applyFont="1" applyBorder="1" applyAlignment="1">
      <alignment vertical="center"/>
    </xf>
    <xf numFmtId="166" fontId="20" fillId="0" borderId="32" xfId="0" applyNumberFormat="1" applyFont="1" applyBorder="1" applyAlignment="1">
      <alignment horizontal="left" vertical="center"/>
    </xf>
    <xf numFmtId="0" fontId="20" fillId="0" borderId="83" xfId="0" applyFont="1" applyBorder="1" applyAlignment="1">
      <alignment horizontal="center" vertical="center"/>
    </xf>
    <xf numFmtId="0" fontId="20" fillId="0" borderId="114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horizontal="left" vertical="center"/>
    </xf>
    <xf numFmtId="164" fontId="21" fillId="3" borderId="48" xfId="1" applyNumberFormat="1" applyFont="1" applyFill="1" applyBorder="1"/>
    <xf numFmtId="166" fontId="20" fillId="0" borderId="23" xfId="0" applyNumberFormat="1" applyFont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164" fontId="33" fillId="2" borderId="115" xfId="0" applyNumberFormat="1" applyFont="1" applyFill="1" applyBorder="1" applyAlignment="1">
      <alignment vertical="center"/>
    </xf>
    <xf numFmtId="164" fontId="33" fillId="2" borderId="116" xfId="0" applyNumberFormat="1" applyFont="1" applyFill="1" applyBorder="1" applyAlignment="1">
      <alignment vertical="center"/>
    </xf>
    <xf numFmtId="10" fontId="33" fillId="2" borderId="117" xfId="0" applyNumberFormat="1" applyFont="1" applyFill="1" applyBorder="1" applyAlignment="1">
      <alignment vertical="center"/>
    </xf>
    <xf numFmtId="10" fontId="33" fillId="2" borderId="116" xfId="0" applyNumberFormat="1" applyFont="1" applyFill="1" applyBorder="1" applyAlignment="1">
      <alignment vertical="center"/>
    </xf>
    <xf numFmtId="10" fontId="33" fillId="2" borderId="118" xfId="0" applyNumberFormat="1" applyFont="1" applyFill="1" applyBorder="1" applyAlignment="1">
      <alignment vertical="center"/>
    </xf>
    <xf numFmtId="164" fontId="18" fillId="2" borderId="7" xfId="5" applyNumberFormat="1" applyFont="1" applyFill="1" applyBorder="1" applyAlignment="1">
      <alignment vertical="center"/>
    </xf>
    <xf numFmtId="10" fontId="48" fillId="5" borderId="101" xfId="0" applyNumberFormat="1" applyFont="1" applyFill="1" applyBorder="1"/>
    <xf numFmtId="165" fontId="49" fillId="5" borderId="0" xfId="2" applyNumberFormat="1" applyFont="1" applyFill="1" applyBorder="1"/>
    <xf numFmtId="165" fontId="19" fillId="5" borderId="0" xfId="2" applyNumberFormat="1" applyFont="1" applyFill="1" applyBorder="1"/>
    <xf numFmtId="164" fontId="20" fillId="5" borderId="0" xfId="1" applyNumberFormat="1" applyFont="1" applyFill="1" applyBorder="1"/>
    <xf numFmtId="165" fontId="11" fillId="5" borderId="0" xfId="2" applyNumberFormat="1" applyFont="1" applyFill="1" applyBorder="1" applyAlignment="1">
      <alignment vertical="center"/>
    </xf>
    <xf numFmtId="164" fontId="0" fillId="5" borderId="0" xfId="1" applyNumberFormat="1" applyFont="1" applyFill="1" applyBorder="1"/>
    <xf numFmtId="164" fontId="21" fillId="3" borderId="96" xfId="1" applyNumberFormat="1" applyFont="1" applyFill="1" applyBorder="1"/>
    <xf numFmtId="0" fontId="11" fillId="5" borderId="0" xfId="0" applyFont="1" applyFill="1" applyBorder="1" applyAlignment="1">
      <alignment horizontal="left" vertical="center"/>
    </xf>
    <xf numFmtId="165" fontId="43" fillId="5" borderId="0" xfId="2" applyNumberFormat="1" applyFont="1" applyFill="1" applyBorder="1" applyAlignment="1">
      <alignment vertical="center"/>
    </xf>
    <xf numFmtId="165" fontId="43" fillId="5" borderId="0" xfId="0" applyNumberFormat="1" applyFont="1" applyFill="1" applyBorder="1" applyAlignment="1">
      <alignment vertical="center"/>
    </xf>
    <xf numFmtId="0" fontId="34" fillId="0" borderId="0" xfId="0" applyFont="1" applyBorder="1"/>
    <xf numFmtId="165" fontId="20" fillId="0" borderId="0" xfId="2" applyNumberFormat="1" applyFont="1" applyBorder="1"/>
    <xf numFmtId="0" fontId="20" fillId="0" borderId="0" xfId="0" applyFont="1" applyBorder="1"/>
    <xf numFmtId="10" fontId="21" fillId="0" borderId="0" xfId="3" applyNumberFormat="1" applyFont="1" applyBorder="1" applyAlignment="1">
      <alignment vertical="center"/>
    </xf>
    <xf numFmtId="43" fontId="0" fillId="0" borderId="0" xfId="0" applyNumberFormat="1" applyBorder="1"/>
    <xf numFmtId="0" fontId="40" fillId="5" borderId="101" xfId="0" applyFont="1" applyFill="1" applyBorder="1" applyAlignment="1">
      <alignment vertical="center"/>
    </xf>
    <xf numFmtId="0" fontId="57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37" fillId="0" borderId="0" xfId="0" applyFont="1"/>
    <xf numFmtId="164" fontId="37" fillId="0" borderId="0" xfId="1" applyNumberFormat="1" applyFont="1"/>
    <xf numFmtId="0" fontId="18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7" fillId="0" borderId="0" xfId="0" applyFont="1" applyBorder="1"/>
    <xf numFmtId="0" fontId="59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 vertical="top" wrapText="1"/>
    </xf>
    <xf numFmtId="0" fontId="61" fillId="3" borderId="98" xfId="0" applyFont="1" applyFill="1" applyBorder="1" applyAlignment="1">
      <alignment horizontal="center" vertical="center" wrapText="1"/>
    </xf>
    <xf numFmtId="164" fontId="62" fillId="3" borderId="121" xfId="1" applyNumberFormat="1" applyFont="1" applyFill="1" applyBorder="1" applyAlignment="1">
      <alignment horizontal="center" vertical="center" wrapText="1"/>
    </xf>
    <xf numFmtId="164" fontId="37" fillId="3" borderId="122" xfId="1" applyNumberFormat="1" applyFont="1" applyFill="1" applyBorder="1" applyAlignment="1">
      <alignment horizontal="center" vertical="center" wrapText="1"/>
    </xf>
    <xf numFmtId="164" fontId="13" fillId="3" borderId="122" xfId="1" applyNumberFormat="1" applyFont="1" applyFill="1" applyBorder="1" applyAlignment="1">
      <alignment horizontal="center" vertical="center" wrapText="1"/>
    </xf>
    <xf numFmtId="0" fontId="37" fillId="3" borderId="98" xfId="0" applyFont="1" applyFill="1" applyBorder="1" applyAlignment="1">
      <alignment horizontal="center" vertical="center"/>
    </xf>
    <xf numFmtId="0" fontId="59" fillId="9" borderId="123" xfId="0" applyFont="1" applyFill="1" applyBorder="1" applyAlignment="1">
      <alignment horizontal="left" vertical="center" wrapText="1"/>
    </xf>
    <xf numFmtId="0" fontId="59" fillId="9" borderId="124" xfId="0" applyFont="1" applyFill="1" applyBorder="1" applyAlignment="1">
      <alignment horizontal="left" vertical="center" wrapText="1"/>
    </xf>
    <xf numFmtId="0" fontId="37" fillId="0" borderId="0" xfId="0" applyFont="1" applyAlignment="1">
      <alignment vertical="center"/>
    </xf>
    <xf numFmtId="44" fontId="37" fillId="0" borderId="36" xfId="2" applyFont="1" applyBorder="1" applyAlignment="1">
      <alignment vertical="center"/>
    </xf>
    <xf numFmtId="0" fontId="37" fillId="0" borderId="126" xfId="0" applyFont="1" applyBorder="1" applyAlignment="1">
      <alignment vertical="center"/>
    </xf>
    <xf numFmtId="0" fontId="59" fillId="9" borderId="127" xfId="0" applyFont="1" applyFill="1" applyBorder="1" applyAlignment="1">
      <alignment horizontal="left" vertical="center" wrapText="1"/>
    </xf>
    <xf numFmtId="0" fontId="59" fillId="9" borderId="128" xfId="0" applyFont="1" applyFill="1" applyBorder="1" applyAlignment="1">
      <alignment horizontal="left" vertical="center" wrapText="1"/>
    </xf>
    <xf numFmtId="164" fontId="37" fillId="0" borderId="27" xfId="1" applyNumberFormat="1" applyFont="1" applyBorder="1" applyAlignment="1">
      <alignment vertical="center"/>
    </xf>
    <xf numFmtId="0" fontId="37" fillId="0" borderId="103" xfId="0" applyFont="1" applyBorder="1" applyAlignment="1">
      <alignment vertical="center"/>
    </xf>
    <xf numFmtId="0" fontId="46" fillId="0" borderId="103" xfId="0" applyFont="1" applyBorder="1" applyAlignment="1">
      <alignment vertical="center"/>
    </xf>
    <xf numFmtId="164" fontId="37" fillId="0" borderId="17" xfId="1" applyNumberFormat="1" applyFont="1" applyBorder="1" applyAlignment="1">
      <alignment vertical="center"/>
    </xf>
    <xf numFmtId="0" fontId="37" fillId="0" borderId="129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59" fillId="9" borderId="130" xfId="0" applyFont="1" applyFill="1" applyBorder="1" applyAlignment="1">
      <alignment horizontal="left" vertical="center" wrapText="1"/>
    </xf>
    <xf numFmtId="0" fontId="59" fillId="9" borderId="131" xfId="0" applyFont="1" applyFill="1" applyBorder="1" applyAlignment="1">
      <alignment horizontal="left" vertical="center" wrapText="1"/>
    </xf>
    <xf numFmtId="164" fontId="63" fillId="0" borderId="99" xfId="1" applyNumberFormat="1" applyFont="1" applyFill="1" applyBorder="1" applyAlignment="1">
      <alignment horizontal="left" vertical="center"/>
    </xf>
    <xf numFmtId="164" fontId="37" fillId="0" borderId="45" xfId="1" applyNumberFormat="1" applyFont="1" applyFill="1" applyBorder="1" applyAlignment="1">
      <alignment horizontal="left" vertical="center"/>
    </xf>
    <xf numFmtId="164" fontId="37" fillId="0" borderId="45" xfId="1" applyNumberFormat="1" applyFont="1" applyBorder="1" applyAlignment="1">
      <alignment horizontal="left" vertical="center"/>
    </xf>
    <xf numFmtId="0" fontId="62" fillId="0" borderId="100" xfId="0" applyFont="1" applyBorder="1" applyAlignment="1">
      <alignment horizontal="left" vertical="center"/>
    </xf>
    <xf numFmtId="164" fontId="63" fillId="0" borderId="102" xfId="1" applyNumberFormat="1" applyFont="1" applyFill="1" applyBorder="1" applyAlignment="1">
      <alignment horizontal="left" vertical="center"/>
    </xf>
    <xf numFmtId="164" fontId="37" fillId="0" borderId="27" xfId="1" applyNumberFormat="1" applyFont="1" applyFill="1" applyBorder="1" applyAlignment="1">
      <alignment horizontal="left" vertical="center"/>
    </xf>
    <xf numFmtId="164" fontId="37" fillId="0" borderId="27" xfId="1" applyNumberFormat="1" applyFont="1" applyBorder="1" applyAlignment="1">
      <alignment horizontal="left" vertical="center"/>
    </xf>
    <xf numFmtId="0" fontId="62" fillId="0" borderId="103" xfId="0" applyFont="1" applyBorder="1" applyAlignment="1">
      <alignment horizontal="left" vertical="center"/>
    </xf>
    <xf numFmtId="164" fontId="63" fillId="0" borderId="102" xfId="1" applyNumberFormat="1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164" fontId="63" fillId="0" borderId="104" xfId="1" applyNumberFormat="1" applyFont="1" applyBorder="1" applyAlignment="1">
      <alignment horizontal="left" vertical="center"/>
    </xf>
    <xf numFmtId="164" fontId="37" fillId="0" borderId="31" xfId="1" applyNumberFormat="1" applyFont="1" applyBorder="1" applyAlignment="1">
      <alignment horizontal="left" vertical="center"/>
    </xf>
    <xf numFmtId="0" fontId="37" fillId="0" borderId="132" xfId="0" applyFont="1" applyBorder="1" applyAlignment="1">
      <alignment horizontal="left" vertical="center"/>
    </xf>
    <xf numFmtId="0" fontId="65" fillId="0" borderId="0" xfId="0" applyFont="1" applyAlignment="1">
      <alignment vertical="center"/>
    </xf>
    <xf numFmtId="165" fontId="57" fillId="0" borderId="88" xfId="2" applyNumberFormat="1" applyFont="1" applyBorder="1" applyAlignment="1">
      <alignment vertical="center"/>
    </xf>
    <xf numFmtId="4" fontId="68" fillId="0" borderId="0" xfId="0" applyNumberFormat="1" applyFont="1" applyFill="1" applyBorder="1" applyAlignment="1">
      <alignment horizontal="right" wrapText="1"/>
    </xf>
    <xf numFmtId="0" fontId="59" fillId="9" borderId="135" xfId="0" applyFont="1" applyFill="1" applyBorder="1" applyAlignment="1">
      <alignment horizontal="left" vertical="center" wrapText="1"/>
    </xf>
    <xf numFmtId="0" fontId="59" fillId="9" borderId="136" xfId="0" applyFont="1" applyFill="1" applyBorder="1" applyAlignment="1">
      <alignment horizontal="left" vertical="center" wrapText="1"/>
    </xf>
    <xf numFmtId="164" fontId="63" fillId="0" borderId="137" xfId="1" applyNumberFormat="1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164" fontId="37" fillId="0" borderId="22" xfId="1" applyNumberFormat="1" applyFont="1" applyBorder="1" applyAlignment="1">
      <alignment vertical="center"/>
    </xf>
    <xf numFmtId="0" fontId="37" fillId="0" borderId="138" xfId="0" applyFont="1" applyBorder="1" applyAlignment="1">
      <alignment vertical="center"/>
    </xf>
    <xf numFmtId="164" fontId="37" fillId="0" borderId="27" xfId="1" applyNumberFormat="1" applyFont="1" applyFill="1" applyBorder="1" applyAlignment="1">
      <alignment vertical="center"/>
    </xf>
    <xf numFmtId="164" fontId="25" fillId="0" borderId="18" xfId="6" applyNumberFormat="1" applyFont="1" applyBorder="1" applyAlignment="1">
      <alignment vertical="center"/>
    </xf>
    <xf numFmtId="164" fontId="25" fillId="0" borderId="27" xfId="6" applyNumberFormat="1" applyFont="1" applyBorder="1" applyAlignment="1">
      <alignment vertical="center"/>
    </xf>
    <xf numFmtId="164" fontId="25" fillId="0" borderId="19" xfId="6" applyNumberFormat="1" applyFont="1" applyBorder="1" applyAlignment="1">
      <alignment vertical="center"/>
    </xf>
    <xf numFmtId="164" fontId="25" fillId="0" borderId="82" xfId="6" applyNumberFormat="1" applyFont="1" applyBorder="1" applyAlignment="1">
      <alignment vertical="center"/>
    </xf>
    <xf numFmtId="164" fontId="25" fillId="0" borderId="53" xfId="6" applyNumberFormat="1" applyFont="1" applyBorder="1" applyAlignment="1">
      <alignment vertical="center"/>
    </xf>
    <xf numFmtId="164" fontId="25" fillId="0" borderId="33" xfId="6" applyNumberFormat="1" applyFont="1" applyBorder="1" applyAlignment="1">
      <alignment vertical="center"/>
    </xf>
    <xf numFmtId="164" fontId="21" fillId="0" borderId="29" xfId="6" applyNumberFormat="1" applyFont="1" applyBorder="1" applyAlignment="1">
      <alignment vertical="center"/>
    </xf>
    <xf numFmtId="164" fontId="21" fillId="0" borderId="54" xfId="6" applyNumberFormat="1" applyFont="1" applyBorder="1" applyAlignment="1">
      <alignment vertical="center"/>
    </xf>
    <xf numFmtId="43" fontId="21" fillId="0" borderId="54" xfId="6" applyFont="1" applyBorder="1" applyAlignment="1">
      <alignment vertical="center"/>
    </xf>
    <xf numFmtId="166" fontId="26" fillId="0" borderId="29" xfId="0" applyNumberFormat="1" applyFont="1" applyBorder="1" applyAlignment="1">
      <alignment vertical="center"/>
    </xf>
    <xf numFmtId="164" fontId="18" fillId="0" borderId="0" xfId="1" applyNumberFormat="1" applyFont="1" applyFill="1" applyBorder="1" applyAlignment="1">
      <alignment horizontal="right"/>
    </xf>
    <xf numFmtId="0" fontId="20" fillId="7" borderId="62" xfId="0" applyFont="1" applyFill="1" applyBorder="1" applyAlignment="1">
      <alignment horizontal="left"/>
    </xf>
    <xf numFmtId="0" fontId="20" fillId="7" borderId="143" xfId="0" applyFont="1" applyFill="1" applyBorder="1" applyAlignment="1">
      <alignment horizontal="left"/>
    </xf>
    <xf numFmtId="164" fontId="20" fillId="7" borderId="30" xfId="5" applyNumberFormat="1" applyFont="1" applyFill="1" applyBorder="1"/>
    <xf numFmtId="164" fontId="20" fillId="7" borderId="31" xfId="5" applyNumberFormat="1" applyFont="1" applyFill="1" applyBorder="1"/>
    <xf numFmtId="164" fontId="20" fillId="7" borderId="73" xfId="5" applyNumberFormat="1" applyFont="1" applyFill="1" applyBorder="1"/>
    <xf numFmtId="164" fontId="20" fillId="7" borderId="33" xfId="5" applyNumberFormat="1" applyFont="1" applyFill="1" applyBorder="1"/>
    <xf numFmtId="164" fontId="20" fillId="7" borderId="54" xfId="1" applyNumberFormat="1" applyFont="1" applyFill="1" applyBorder="1"/>
    <xf numFmtId="164" fontId="20" fillId="7" borderId="63" xfId="5" applyNumberFormat="1" applyFont="1" applyFill="1" applyBorder="1"/>
    <xf numFmtId="164" fontId="20" fillId="7" borderId="54" xfId="5" applyNumberFormat="1" applyFont="1" applyFill="1" applyBorder="1"/>
    <xf numFmtId="0" fontId="3" fillId="0" borderId="14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164" fontId="20" fillId="0" borderId="139" xfId="5" applyNumberFormat="1" applyFont="1" applyFill="1" applyBorder="1"/>
    <xf numFmtId="164" fontId="20" fillId="0" borderId="140" xfId="5" applyNumberFormat="1" applyFont="1" applyFill="1" applyBorder="1"/>
    <xf numFmtId="164" fontId="20" fillId="0" borderId="144" xfId="5" applyNumberFormat="1" applyFont="1" applyFill="1" applyBorder="1"/>
    <xf numFmtId="164" fontId="20" fillId="0" borderId="145" xfId="5" applyNumberFormat="1" applyFont="1" applyFill="1" applyBorder="1"/>
    <xf numFmtId="164" fontId="20" fillId="0" borderId="3" xfId="5" applyNumberFormat="1" applyFont="1" applyFill="1" applyBorder="1"/>
    <xf numFmtId="164" fontId="20" fillId="0" borderId="146" xfId="1" applyNumberFormat="1" applyFont="1" applyFill="1" applyBorder="1"/>
    <xf numFmtId="0" fontId="3" fillId="7" borderId="114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left"/>
    </xf>
    <xf numFmtId="0" fontId="20" fillId="7" borderId="147" xfId="0" applyFont="1" applyFill="1" applyBorder="1" applyAlignment="1">
      <alignment horizontal="left"/>
    </xf>
    <xf numFmtId="164" fontId="20" fillId="0" borderId="148" xfId="5" applyNumberFormat="1" applyFont="1" applyBorder="1"/>
    <xf numFmtId="164" fontId="20" fillId="0" borderId="144" xfId="5" applyNumberFormat="1" applyFont="1" applyBorder="1"/>
    <xf numFmtId="164" fontId="20" fillId="0" borderId="141" xfId="5" applyNumberFormat="1" applyFont="1" applyBorder="1"/>
    <xf numFmtId="164" fontId="20" fillId="7" borderId="147" xfId="5" applyNumberFormat="1" applyFont="1" applyFill="1" applyBorder="1"/>
    <xf numFmtId="164" fontId="20" fillId="0" borderId="146" xfId="5" applyNumberFormat="1" applyFont="1" applyBorder="1"/>
    <xf numFmtId="10" fontId="33" fillId="2" borderId="5" xfId="0" applyNumberFormat="1" applyFont="1" applyFill="1" applyBorder="1" applyAlignment="1">
      <alignment vertical="center"/>
    </xf>
    <xf numFmtId="164" fontId="33" fillId="2" borderId="117" xfId="0" applyNumberFormat="1" applyFont="1" applyFill="1" applyBorder="1" applyAlignment="1">
      <alignment vertical="center"/>
    </xf>
    <xf numFmtId="0" fontId="3" fillId="0" borderId="7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164" fontId="20" fillId="0" borderId="57" xfId="5" applyNumberFormat="1" applyFont="1" applyBorder="1"/>
    <xf numFmtId="164" fontId="20" fillId="0" borderId="145" xfId="5" applyNumberFormat="1" applyFont="1" applyBorder="1"/>
    <xf numFmtId="164" fontId="20" fillId="0" borderId="59" xfId="5" applyNumberFormat="1" applyFont="1" applyBorder="1"/>
    <xf numFmtId="164" fontId="20" fillId="0" borderId="52" xfId="5" applyNumberFormat="1" applyFont="1" applyBorder="1"/>
    <xf numFmtId="164" fontId="20" fillId="0" borderId="149" xfId="5" applyNumberFormat="1" applyFont="1" applyBorder="1"/>
    <xf numFmtId="0" fontId="20" fillId="0" borderId="150" xfId="0" applyFont="1" applyBorder="1" applyAlignment="1">
      <alignment horizontal="left"/>
    </xf>
    <xf numFmtId="0" fontId="0" fillId="0" borderId="0" xfId="0" applyFill="1" applyBorder="1"/>
    <xf numFmtId="0" fontId="3" fillId="0" borderId="23" xfId="0" applyFont="1" applyFill="1" applyBorder="1" applyAlignment="1">
      <alignment horizontal="right"/>
    </xf>
    <xf numFmtId="164" fontId="20" fillId="0" borderId="21" xfId="6" applyNumberFormat="1" applyFont="1" applyFill="1" applyBorder="1"/>
    <xf numFmtId="164" fontId="20" fillId="0" borderId="23" xfId="6" applyNumberFormat="1" applyFont="1" applyFill="1" applyBorder="1"/>
    <xf numFmtId="164" fontId="13" fillId="8" borderId="29" xfId="0" applyNumberFormat="1" applyFont="1" applyFill="1" applyBorder="1"/>
    <xf numFmtId="166" fontId="28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/>
    <xf numFmtId="166" fontId="31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/>
    <xf numFmtId="10" fontId="33" fillId="0" borderId="25" xfId="0" applyNumberFormat="1" applyFont="1" applyFill="1" applyBorder="1" applyAlignment="1">
      <alignment horizontal="center"/>
    </xf>
    <xf numFmtId="0" fontId="13" fillId="0" borderId="25" xfId="0" applyFont="1" applyFill="1" applyBorder="1"/>
    <xf numFmtId="0" fontId="12" fillId="0" borderId="25" xfId="0" applyFont="1" applyFill="1" applyBorder="1"/>
    <xf numFmtId="165" fontId="11" fillId="0" borderId="94" xfId="4" applyNumberFormat="1" applyFont="1" applyBorder="1" applyAlignment="1">
      <alignment vertical="center"/>
    </xf>
    <xf numFmtId="165" fontId="11" fillId="0" borderId="95" xfId="4" applyNumberFormat="1" applyFont="1" applyBorder="1" applyAlignment="1">
      <alignment vertical="center"/>
    </xf>
    <xf numFmtId="165" fontId="11" fillId="0" borderId="89" xfId="4" applyNumberFormat="1" applyFont="1" applyBorder="1" applyAlignment="1">
      <alignment vertical="center"/>
    </xf>
    <xf numFmtId="165" fontId="11" fillId="0" borderId="152" xfId="4" applyNumberFormat="1" applyFont="1" applyBorder="1" applyAlignment="1">
      <alignment vertical="center"/>
    </xf>
    <xf numFmtId="165" fontId="11" fillId="0" borderId="151" xfId="4" applyNumberFormat="1" applyFont="1" applyBorder="1" applyAlignment="1">
      <alignment vertical="center"/>
    </xf>
    <xf numFmtId="165" fontId="11" fillId="0" borderId="55" xfId="4" applyNumberFormat="1" applyFont="1" applyBorder="1" applyAlignment="1">
      <alignment vertical="center"/>
    </xf>
    <xf numFmtId="165" fontId="11" fillId="0" borderId="37" xfId="4" applyNumberFormat="1" applyFont="1" applyBorder="1" applyAlignment="1">
      <alignment vertical="center"/>
    </xf>
    <xf numFmtId="165" fontId="11" fillId="0" borderId="88" xfId="4" applyNumberFormat="1" applyFont="1" applyBorder="1" applyAlignment="1">
      <alignment vertical="center"/>
    </xf>
    <xf numFmtId="38" fontId="67" fillId="3" borderId="76" xfId="0" applyNumberFormat="1" applyFont="1" applyFill="1" applyBorder="1"/>
    <xf numFmtId="38" fontId="67" fillId="3" borderId="50" xfId="0" applyNumberFormat="1" applyFont="1" applyFill="1" applyBorder="1"/>
    <xf numFmtId="0" fontId="20" fillId="7" borderId="83" xfId="0" applyFont="1" applyFill="1" applyBorder="1" applyAlignment="1">
      <alignment horizontal="left"/>
    </xf>
    <xf numFmtId="39" fontId="71" fillId="0" borderId="0" xfId="5" applyNumberFormat="1" applyFont="1"/>
    <xf numFmtId="43" fontId="71" fillId="0" borderId="0" xfId="5" applyFont="1"/>
    <xf numFmtId="43" fontId="21" fillId="0" borderId="0" xfId="9" applyNumberFormat="1" applyFont="1"/>
    <xf numFmtId="0" fontId="28" fillId="3" borderId="53" xfId="0" applyFont="1" applyFill="1" applyBorder="1"/>
    <xf numFmtId="164" fontId="37" fillId="0" borderId="103" xfId="0" applyNumberFormat="1" applyFont="1" applyBorder="1" applyAlignment="1">
      <alignment vertical="center"/>
    </xf>
    <xf numFmtId="165" fontId="72" fillId="0" borderId="0" xfId="0" applyNumberFormat="1" applyFont="1"/>
    <xf numFmtId="43" fontId="13" fillId="0" borderId="0" xfId="0" applyNumberFormat="1" applyFont="1"/>
    <xf numFmtId="43" fontId="20" fillId="0" borderId="0" xfId="0" applyNumberFormat="1" applyFont="1"/>
    <xf numFmtId="44" fontId="55" fillId="0" borderId="0" xfId="4" applyFont="1" applyFill="1" applyBorder="1"/>
    <xf numFmtId="0" fontId="13" fillId="0" borderId="0" xfId="0" applyFont="1"/>
    <xf numFmtId="164" fontId="12" fillId="0" borderId="0" xfId="0" applyNumberFormat="1" applyFont="1" applyAlignment="1">
      <alignment vertical="center"/>
    </xf>
    <xf numFmtId="164" fontId="16" fillId="0" borderId="0" xfId="6" applyNumberFormat="1" applyFont="1" applyFill="1" applyBorder="1"/>
    <xf numFmtId="164" fontId="55" fillId="0" borderId="0" xfId="6" applyNumberFormat="1" applyFont="1" applyFill="1" applyBorder="1"/>
    <xf numFmtId="0" fontId="19" fillId="0" borderId="23" xfId="0" applyFont="1" applyFill="1" applyBorder="1" applyAlignment="1">
      <alignment horizontal="left" vertical="center"/>
    </xf>
    <xf numFmtId="165" fontId="18" fillId="0" borderId="21" xfId="2" applyNumberFormat="1" applyFont="1" applyFill="1" applyBorder="1" applyAlignment="1">
      <alignment horizontal="right" wrapText="1"/>
    </xf>
    <xf numFmtId="165" fontId="18" fillId="0" borderId="45" xfId="2" applyNumberFormat="1" applyFont="1" applyFill="1" applyBorder="1" applyAlignment="1">
      <alignment horizontal="right" vertical="center" wrapText="1"/>
    </xf>
    <xf numFmtId="165" fontId="18" fillId="0" borderId="45" xfId="2" applyNumberFormat="1" applyFont="1" applyFill="1" applyBorder="1" applyAlignment="1">
      <alignment horizontal="right" vertical="center"/>
    </xf>
    <xf numFmtId="165" fontId="18" fillId="0" borderId="22" xfId="2" applyNumberFormat="1" applyFont="1" applyFill="1" applyBorder="1" applyAlignment="1">
      <alignment horizontal="right" vertical="center"/>
    </xf>
    <xf numFmtId="165" fontId="18" fillId="0" borderId="105" xfId="2" applyNumberFormat="1" applyFont="1" applyFill="1" applyBorder="1" applyAlignment="1">
      <alignment horizontal="right" vertical="center"/>
    </xf>
    <xf numFmtId="165" fontId="18" fillId="0" borderId="23" xfId="2" applyNumberFormat="1" applyFont="1" applyFill="1" applyBorder="1" applyAlignment="1">
      <alignment horizontal="right" vertical="center"/>
    </xf>
    <xf numFmtId="165" fontId="18" fillId="0" borderId="47" xfId="2" applyNumberFormat="1" applyFont="1" applyFill="1" applyBorder="1" applyAlignment="1">
      <alignment horizontal="right" vertical="center" wrapText="1"/>
    </xf>
    <xf numFmtId="165" fontId="18" fillId="0" borderId="25" xfId="2" applyNumberFormat="1" applyFont="1" applyFill="1" applyBorder="1" applyAlignment="1">
      <alignment horizontal="right" vertical="center" wrapText="1"/>
    </xf>
    <xf numFmtId="0" fontId="16" fillId="0" borderId="47" xfId="0" applyFont="1" applyFill="1" applyBorder="1" applyAlignment="1">
      <alignment horizontal="left" vertical="center"/>
    </xf>
    <xf numFmtId="0" fontId="20" fillId="8" borderId="20" xfId="0" applyFont="1" applyFill="1" applyBorder="1" applyAlignment="1">
      <alignment horizontal="left"/>
    </xf>
    <xf numFmtId="0" fontId="3" fillId="7" borderId="153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166" fontId="28" fillId="0" borderId="25" xfId="0" applyNumberFormat="1" applyFont="1" applyBorder="1" applyAlignment="1">
      <alignment vertical="center"/>
    </xf>
    <xf numFmtId="0" fontId="20" fillId="0" borderId="49" xfId="0" applyFont="1" applyBorder="1" applyAlignment="1">
      <alignment horizontal="center" vertical="center"/>
    </xf>
    <xf numFmtId="164" fontId="25" fillId="0" borderId="147" xfId="6" applyNumberFormat="1" applyFont="1" applyBorder="1" applyAlignment="1">
      <alignment vertical="center"/>
    </xf>
    <xf numFmtId="165" fontId="18" fillId="0" borderId="48" xfId="2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7" borderId="45" xfId="0" applyFont="1" applyFill="1" applyBorder="1" applyAlignment="1">
      <alignment horizontal="left"/>
    </xf>
    <xf numFmtId="0" fontId="22" fillId="0" borderId="142" xfId="0" applyFont="1" applyBorder="1" applyAlignment="1">
      <alignment horizontal="left" vertical="center"/>
    </xf>
    <xf numFmtId="0" fontId="3" fillId="7" borderId="43" xfId="0" applyFont="1" applyFill="1" applyBorder="1" applyAlignment="1">
      <alignment horizontal="center"/>
    </xf>
    <xf numFmtId="0" fontId="23" fillId="0" borderId="142" xfId="0" applyFont="1" applyBorder="1" applyAlignment="1">
      <alignment horizontal="left" vertical="center"/>
    </xf>
    <xf numFmtId="164" fontId="21" fillId="8" borderId="76" xfId="0" applyNumberFormat="1" applyFont="1" applyFill="1" applyBorder="1"/>
    <xf numFmtId="0" fontId="3" fillId="8" borderId="15" xfId="0" applyFont="1" applyFill="1" applyBorder="1" applyAlignment="1">
      <alignment horizontal="center"/>
    </xf>
    <xf numFmtId="164" fontId="21" fillId="8" borderId="82" xfId="0" applyNumberFormat="1" applyFont="1" applyFill="1" applyBorder="1"/>
    <xf numFmtId="0" fontId="3" fillId="8" borderId="84" xfId="0" applyFont="1" applyFill="1" applyBorder="1" applyAlignment="1">
      <alignment horizontal="center"/>
    </xf>
    <xf numFmtId="0" fontId="3" fillId="0" borderId="149" xfId="0" applyFont="1" applyFill="1" applyBorder="1" applyAlignment="1">
      <alignment horizontal="center"/>
    </xf>
    <xf numFmtId="0" fontId="20" fillId="8" borderId="143" xfId="0" applyFont="1" applyFill="1" applyBorder="1" applyAlignment="1">
      <alignment horizontal="left"/>
    </xf>
    <xf numFmtId="0" fontId="22" fillId="0" borderId="58" xfId="0" applyFont="1" applyFill="1" applyBorder="1" applyAlignment="1">
      <alignment horizontal="left" vertical="center"/>
    </xf>
    <xf numFmtId="164" fontId="20" fillId="8" borderId="30" xfId="6" applyNumberFormat="1" applyFont="1" applyFill="1" applyBorder="1"/>
    <xf numFmtId="164" fontId="20" fillId="0" borderId="57" xfId="6" applyNumberFormat="1" applyFont="1" applyFill="1" applyBorder="1"/>
    <xf numFmtId="164" fontId="20" fillId="0" borderId="154" xfId="6" applyNumberFormat="1" applyFont="1" applyFill="1" applyBorder="1"/>
    <xf numFmtId="164" fontId="20" fillId="8" borderId="147" xfId="6" applyNumberFormat="1" applyFont="1" applyFill="1" applyBorder="1"/>
    <xf numFmtId="164" fontId="20" fillId="8" borderId="33" xfId="6" applyNumberFormat="1" applyFont="1" applyFill="1" applyBorder="1"/>
    <xf numFmtId="164" fontId="20" fillId="0" borderId="59" xfId="6" applyNumberFormat="1" applyFont="1" applyFill="1" applyBorder="1"/>
    <xf numFmtId="0" fontId="0" fillId="3" borderId="64" xfId="0" applyFill="1" applyBorder="1"/>
    <xf numFmtId="0" fontId="21" fillId="3" borderId="3" xfId="0" applyFont="1" applyFill="1" applyBorder="1"/>
    <xf numFmtId="0" fontId="21" fillId="3" borderId="155" xfId="0" applyFont="1" applyFill="1" applyBorder="1"/>
    <xf numFmtId="0" fontId="21" fillId="3" borderId="46" xfId="0" applyFont="1" applyFill="1" applyBorder="1"/>
    <xf numFmtId="10" fontId="33" fillId="3" borderId="140" xfId="0" applyNumberFormat="1" applyFont="1" applyFill="1" applyBorder="1" applyAlignment="1">
      <alignment horizontal="center"/>
    </xf>
    <xf numFmtId="164" fontId="25" fillId="3" borderId="140" xfId="6" applyNumberFormat="1" applyFont="1" applyFill="1" applyBorder="1"/>
    <xf numFmtId="172" fontId="11" fillId="5" borderId="0" xfId="1" applyNumberFormat="1" applyFont="1" applyFill="1" applyBorder="1" applyAlignment="1">
      <alignment vertical="center"/>
    </xf>
    <xf numFmtId="172" fontId="20" fillId="5" borderId="0" xfId="1" applyNumberFormat="1" applyFont="1" applyFill="1" applyBorder="1"/>
    <xf numFmtId="164" fontId="25" fillId="3" borderId="45" xfId="1" applyNumberFormat="1" applyFont="1" applyFill="1" applyBorder="1"/>
    <xf numFmtId="166" fontId="13" fillId="0" borderId="25" xfId="0" applyNumberFormat="1" applyFont="1" applyBorder="1" applyAlignment="1">
      <alignment vertical="center"/>
    </xf>
    <xf numFmtId="0" fontId="13" fillId="7" borderId="47" xfId="0" applyFont="1" applyFill="1" applyBorder="1"/>
    <xf numFmtId="166" fontId="12" fillId="0" borderId="39" xfId="0" applyNumberFormat="1" applyFont="1" applyBorder="1" applyAlignment="1">
      <alignment vertical="center"/>
    </xf>
    <xf numFmtId="0" fontId="13" fillId="7" borderId="33" xfId="0" applyFont="1" applyFill="1" applyBorder="1"/>
    <xf numFmtId="0" fontId="13" fillId="0" borderId="63" xfId="0" applyFont="1" applyFill="1" applyBorder="1"/>
    <xf numFmtId="0" fontId="20" fillId="7" borderId="15" xfId="0" applyFont="1" applyFill="1" applyBorder="1" applyAlignment="1">
      <alignment horizontal="left"/>
    </xf>
    <xf numFmtId="0" fontId="22" fillId="0" borderId="143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22" fillId="0" borderId="76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8" borderId="28" xfId="0" applyFont="1" applyFill="1" applyBorder="1" applyAlignment="1">
      <alignment horizontal="left"/>
    </xf>
    <xf numFmtId="0" fontId="21" fillId="3" borderId="8" xfId="0" applyFont="1" applyFill="1" applyBorder="1"/>
    <xf numFmtId="0" fontId="21" fillId="3" borderId="14" xfId="0" applyFont="1" applyFill="1" applyBorder="1"/>
    <xf numFmtId="0" fontId="22" fillId="0" borderId="120" xfId="0" applyFont="1" applyFill="1" applyBorder="1" applyAlignment="1">
      <alignment horizontal="left" vertical="center"/>
    </xf>
    <xf numFmtId="0" fontId="3" fillId="0" borderId="84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38" fontId="21" fillId="3" borderId="50" xfId="0" applyNumberFormat="1" applyFont="1" applyFill="1" applyBorder="1"/>
    <xf numFmtId="0" fontId="44" fillId="0" borderId="97" xfId="0" applyFont="1" applyFill="1" applyBorder="1" applyAlignment="1"/>
    <xf numFmtId="0" fontId="21" fillId="3" borderId="28" xfId="0" applyFont="1" applyFill="1" applyBorder="1"/>
    <xf numFmtId="38" fontId="25" fillId="3" borderId="26" xfId="0" applyNumberFormat="1" applyFont="1" applyFill="1" applyBorder="1"/>
    <xf numFmtId="165" fontId="25" fillId="3" borderId="157" xfId="4" applyNumberFormat="1" applyFont="1" applyFill="1" applyBorder="1"/>
    <xf numFmtId="0" fontId="21" fillId="3" borderId="11" xfId="0" applyFont="1" applyFill="1" applyBorder="1"/>
    <xf numFmtId="0" fontId="21" fillId="3" borderId="20" xfId="0" applyFont="1" applyFill="1" applyBorder="1"/>
    <xf numFmtId="0" fontId="21" fillId="3" borderId="81" xfId="0" applyFont="1" applyFill="1" applyBorder="1"/>
    <xf numFmtId="38" fontId="25" fillId="3" borderId="16" xfId="0" applyNumberFormat="1" applyFont="1" applyFill="1" applyBorder="1"/>
    <xf numFmtId="0" fontId="0" fillId="3" borderId="159" xfId="0" applyFill="1" applyBorder="1"/>
    <xf numFmtId="165" fontId="22" fillId="3" borderId="158" xfId="4" applyNumberFormat="1" applyFont="1" applyFill="1" applyBorder="1"/>
    <xf numFmtId="165" fontId="22" fillId="0" borderId="97" xfId="4" applyNumberFormat="1" applyFont="1" applyFill="1" applyBorder="1"/>
    <xf numFmtId="10" fontId="33" fillId="0" borderId="97" xfId="0" applyNumberFormat="1" applyFont="1" applyFill="1" applyBorder="1" applyAlignment="1">
      <alignment horizontal="center"/>
    </xf>
    <xf numFmtId="0" fontId="37" fillId="0" borderId="60" xfId="0" applyFont="1" applyFill="1" applyBorder="1"/>
    <xf numFmtId="0" fontId="12" fillId="0" borderId="160" xfId="0" applyFont="1" applyBorder="1" applyAlignment="1">
      <alignment horizontal="left" vertical="center" wrapText="1"/>
    </xf>
    <xf numFmtId="0" fontId="13" fillId="8" borderId="29" xfId="0" applyFont="1" applyFill="1" applyBorder="1" applyAlignment="1">
      <alignment horizontal="left"/>
    </xf>
    <xf numFmtId="44" fontId="3" fillId="0" borderId="125" xfId="2" applyFont="1" applyBorder="1" applyAlignment="1">
      <alignment vertical="center"/>
    </xf>
    <xf numFmtId="164" fontId="3" fillId="0" borderId="102" xfId="1" applyNumberFormat="1" applyFont="1" applyBorder="1" applyAlignment="1">
      <alignment vertical="center"/>
    </xf>
    <xf numFmtId="0" fontId="70" fillId="0" borderId="0" xfId="0" applyFont="1" applyFill="1"/>
    <xf numFmtId="0" fontId="59" fillId="4" borderId="127" xfId="0" applyFont="1" applyFill="1" applyBorder="1" applyAlignment="1">
      <alignment horizontal="left" vertical="center" wrapText="1"/>
    </xf>
    <xf numFmtId="0" fontId="59" fillId="4" borderId="128" xfId="0" applyFont="1" applyFill="1" applyBorder="1" applyAlignment="1">
      <alignment horizontal="left" vertical="center" wrapText="1"/>
    </xf>
    <xf numFmtId="0" fontId="69" fillId="4" borderId="127" xfId="0" applyFont="1" applyFill="1" applyBorder="1" applyAlignment="1">
      <alignment horizontal="left" vertical="center" wrapText="1"/>
    </xf>
    <xf numFmtId="0" fontId="69" fillId="4" borderId="128" xfId="0" applyFont="1" applyFill="1" applyBorder="1" applyAlignment="1">
      <alignment horizontal="left" vertical="center" wrapText="1"/>
    </xf>
    <xf numFmtId="164" fontId="3" fillId="0" borderId="102" xfId="1" applyNumberFormat="1" applyFont="1" applyFill="1" applyBorder="1" applyAlignment="1">
      <alignment vertical="center"/>
    </xf>
    <xf numFmtId="164" fontId="18" fillId="0" borderId="102" xfId="1" applyNumberFormat="1" applyFont="1" applyFill="1" applyBorder="1" applyAlignment="1">
      <alignment vertical="center"/>
    </xf>
    <xf numFmtId="4" fontId="67" fillId="0" borderId="89" xfId="0" applyNumberFormat="1" applyFont="1" applyFill="1" applyBorder="1" applyAlignment="1">
      <alignment horizontal="right" vertical="center" wrapText="1"/>
    </xf>
    <xf numFmtId="9" fontId="20" fillId="5" borderId="0" xfId="3" applyFont="1" applyFill="1" applyBorder="1"/>
    <xf numFmtId="167" fontId="11" fillId="5" borderId="0" xfId="3" applyNumberFormat="1" applyFont="1" applyFill="1" applyBorder="1" applyAlignment="1">
      <alignment vertical="center"/>
    </xf>
    <xf numFmtId="0" fontId="57" fillId="3" borderId="98" xfId="0" applyFont="1" applyFill="1" applyBorder="1"/>
    <xf numFmtId="0" fontId="49" fillId="0" borderId="0" xfId="0" applyFont="1" applyAlignment="1">
      <alignment vertical="center"/>
    </xf>
    <xf numFmtId="0" fontId="49" fillId="0" borderId="0" xfId="0" quotePrefix="1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quotePrefix="1" applyFont="1" applyAlignment="1">
      <alignment horizontal="left" vertical="center"/>
    </xf>
    <xf numFmtId="164" fontId="3" fillId="0" borderId="137" xfId="1" applyNumberFormat="1" applyFont="1" applyBorder="1" applyAlignment="1">
      <alignment vertical="center"/>
    </xf>
    <xf numFmtId="0" fontId="59" fillId="9" borderId="161" xfId="0" applyFont="1" applyFill="1" applyBorder="1" applyAlignment="1">
      <alignment horizontal="left" vertical="center" wrapText="1"/>
    </xf>
    <xf numFmtId="0" fontId="59" fillId="9" borderId="162" xfId="0" applyFont="1" applyFill="1" applyBorder="1" applyAlignment="1">
      <alignment horizontal="left" vertical="center" wrapText="1"/>
    </xf>
    <xf numFmtId="164" fontId="3" fillId="0" borderId="163" xfId="1" applyNumberFormat="1" applyFont="1" applyBorder="1" applyAlignment="1">
      <alignment vertical="center"/>
    </xf>
    <xf numFmtId="0" fontId="0" fillId="0" borderId="164" xfId="0" applyBorder="1"/>
    <xf numFmtId="0" fontId="73" fillId="11" borderId="165" xfId="0" applyFont="1" applyFill="1" applyBorder="1" applyAlignment="1">
      <alignment horizontal="left" vertical="top" wrapText="1"/>
    </xf>
    <xf numFmtId="0" fontId="59" fillId="4" borderId="135" xfId="0" applyFont="1" applyFill="1" applyBorder="1" applyAlignment="1">
      <alignment horizontal="left" vertical="center" wrapText="1"/>
    </xf>
    <xf numFmtId="0" fontId="73" fillId="4" borderId="166" xfId="0" applyFont="1" applyFill="1" applyBorder="1" applyAlignment="1">
      <alignment horizontal="left" vertical="top" wrapText="1"/>
    </xf>
    <xf numFmtId="0" fontId="73" fillId="4" borderId="168" xfId="0" applyFont="1" applyFill="1" applyBorder="1" applyAlignment="1">
      <alignment horizontal="left" vertical="top" wrapText="1"/>
    </xf>
    <xf numFmtId="0" fontId="37" fillId="0" borderId="167" xfId="0" applyFont="1" applyBorder="1" applyAlignment="1">
      <alignment vertical="center"/>
    </xf>
    <xf numFmtId="0" fontId="73" fillId="4" borderId="169" xfId="0" applyFont="1" applyFill="1" applyBorder="1" applyAlignment="1">
      <alignment horizontal="left" vertical="top" wrapText="1"/>
    </xf>
    <xf numFmtId="0" fontId="0" fillId="0" borderId="138" xfId="0" applyBorder="1"/>
    <xf numFmtId="0" fontId="73" fillId="11" borderId="170" xfId="0" applyFont="1" applyFill="1" applyBorder="1" applyAlignment="1">
      <alignment horizontal="left" vertical="top" wrapText="1"/>
    </xf>
    <xf numFmtId="0" fontId="37" fillId="0" borderId="22" xfId="0" applyFont="1" applyBorder="1" applyAlignment="1">
      <alignment vertical="center"/>
    </xf>
    <xf numFmtId="0" fontId="37" fillId="0" borderId="52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164" fontId="3" fillId="0" borderId="171" xfId="1" applyNumberFormat="1" applyFont="1" applyBorder="1" applyAlignment="1">
      <alignment vertical="center"/>
    </xf>
    <xf numFmtId="0" fontId="17" fillId="3" borderId="7" xfId="0" applyFont="1" applyFill="1" applyBorder="1" applyAlignment="1">
      <alignment horizontal="center" vertical="center"/>
    </xf>
    <xf numFmtId="37" fontId="7" fillId="0" borderId="1" xfId="0" quotePrefix="1" applyNumberFormat="1" applyFont="1" applyFill="1" applyBorder="1" applyAlignment="1">
      <alignment horizontal="center" vertical="center" wrapText="1"/>
    </xf>
    <xf numFmtId="37" fontId="7" fillId="0" borderId="2" xfId="0" applyNumberFormat="1" applyFont="1" applyFill="1" applyBorder="1" applyAlignment="1">
      <alignment horizontal="center" vertical="center" wrapText="1"/>
    </xf>
    <xf numFmtId="37" fontId="7" fillId="0" borderId="3" xfId="0" applyNumberFormat="1" applyFont="1" applyFill="1" applyBorder="1" applyAlignment="1">
      <alignment horizontal="center" vertical="center" wrapText="1"/>
    </xf>
    <xf numFmtId="37" fontId="7" fillId="0" borderId="4" xfId="0" applyNumberFormat="1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156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164" fontId="60" fillId="0" borderId="119" xfId="1" applyNumberFormat="1" applyFont="1" applyBorder="1" applyAlignment="1">
      <alignment horizontal="center"/>
    </xf>
    <xf numFmtId="164" fontId="60" fillId="0" borderId="55" xfId="1" applyNumberFormat="1" applyFont="1" applyBorder="1" applyAlignment="1">
      <alignment horizontal="center"/>
    </xf>
    <xf numFmtId="164" fontId="60" fillId="0" borderId="120" xfId="1" applyNumberFormat="1" applyFont="1" applyBorder="1" applyAlignment="1">
      <alignment horizontal="center"/>
    </xf>
    <xf numFmtId="0" fontId="66" fillId="10" borderId="133" xfId="0" applyFont="1" applyFill="1" applyBorder="1" applyAlignment="1">
      <alignment horizontal="center" vertical="center" wrapText="1"/>
    </xf>
    <xf numFmtId="0" fontId="66" fillId="10" borderId="134" xfId="0" applyFont="1" applyFill="1" applyBorder="1" applyAlignment="1">
      <alignment horizontal="center" vertical="center" wrapText="1"/>
    </xf>
  </cellXfs>
  <cellStyles count="11">
    <cellStyle name="Comma" xfId="1" builtinId="3"/>
    <cellStyle name="Comma 2 2" xfId="6"/>
    <cellStyle name="Comma 3" xfId="5"/>
    <cellStyle name="Comma 4" xfId="9"/>
    <cellStyle name="Currency" xfId="2" builtinId="4"/>
    <cellStyle name="Currency 2 2" xfId="4"/>
    <cellStyle name="Currency 4" xfId="10"/>
    <cellStyle name="Normal" xfId="0" builtinId="0"/>
    <cellStyle name="Normal 3" xfId="7"/>
    <cellStyle name="Percent" xfId="3" builtinId="5"/>
    <cellStyle name="Percent 2" xfId="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-14%20Budget%20Planning\Level%20A%20Projections%202013.14%20Final%208.15.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location of Central "/>
      <sheetName val="Level A B2013-02"/>
      <sheetName val="Level A B2013-01 New"/>
      <sheetName val="WC Rate 11.12"/>
      <sheetName val="Cabinet Presentation"/>
      <sheetName val="Sheet1"/>
      <sheetName val="Level A B2013-01"/>
      <sheetName val="Sheet5"/>
      <sheetName val="Planning B2013-01"/>
      <sheetName val="Planning Rec to memo"/>
      <sheetName val="Level A Comm-Level A 2013.14"/>
      <sheetName val="Level A Comm Planning"/>
      <sheetName val="Effective Rate with Level A Com"/>
      <sheetName val="Level A Comm Recom."/>
      <sheetName val="Level A 2013.14"/>
      <sheetName val="2013.14 Planning"/>
      <sheetName val="2013.14 Level A Draft"/>
      <sheetName val="2013.14 Planning Draft"/>
      <sheetName val="2013.14 Planning 2"/>
      <sheetName val="Level A B 2012-03"/>
      <sheetName val="2013.14 Budget Planning Calc."/>
      <sheetName val="2012.13 Level A Redist less ARI"/>
      <sheetName val="2012.13 Level A Redistribution"/>
      <sheetName val="Sheet4"/>
      <sheetName val="Original Level A"/>
      <sheetName val="Reconciliation of Level A"/>
      <sheetName val="Revenue Reserve Proj 5%"/>
      <sheetName val="Revenue Reserve Proj. 3%"/>
      <sheetName val="Budget Planning WS 2012.13"/>
      <sheetName val="Budget Planning WS 2013.14"/>
      <sheetName val="Revenue Projections 2013.14"/>
      <sheetName val="Revenue Projections 10.29.12"/>
      <sheetName val="Revenue Projection 8.31.12"/>
      <sheetName val="Bridge Funding"/>
      <sheetName val="Tuition Rates per CO Office"/>
      <sheetName val="Summary Data Comparison"/>
      <sheetName val="Raw Data 2012.13 8.31.12"/>
      <sheetName val="Summary Data 2011.12"/>
      <sheetName val="Raw Data 2011.12"/>
      <sheetName val="Raw Data 2012.13"/>
      <sheetName val="Raw Data 10.29.12 Corrected"/>
      <sheetName val="2011.12 Actual"/>
      <sheetName val="2011.12 Budget"/>
      <sheetName val="Sheet3"/>
      <sheetName val="2011.12 Budget Summary"/>
      <sheetName val="Sheet7"/>
      <sheetName val="Sheet8"/>
      <sheetName val="Benefits by Acct"/>
      <sheetName val="Benefits by Dept"/>
    </sheetNames>
    <sheetDataSet>
      <sheetData sheetId="0"/>
      <sheetData sheetId="1"/>
      <sheetData sheetId="2"/>
      <sheetData sheetId="3">
        <row r="7">
          <cell r="G7">
            <v>1.9747205514078917E-3</v>
          </cell>
        </row>
      </sheetData>
      <sheetData sheetId="4"/>
      <sheetData sheetId="5"/>
      <sheetData sheetId="6"/>
      <sheetData sheetId="7"/>
      <sheetData sheetId="8">
        <row r="38">
          <cell r="G38">
            <v>2536648</v>
          </cell>
        </row>
      </sheetData>
      <sheetData sheetId="9"/>
      <sheetData sheetId="10"/>
      <sheetData sheetId="11"/>
      <sheetData sheetId="12"/>
      <sheetData sheetId="13">
        <row r="39">
          <cell r="G39">
            <v>27246</v>
          </cell>
        </row>
      </sheetData>
      <sheetData sheetId="14"/>
      <sheetData sheetId="15"/>
      <sheetData sheetId="16"/>
      <sheetData sheetId="17"/>
      <sheetData sheetId="18"/>
      <sheetData sheetId="19">
        <row r="51">
          <cell r="F51">
            <v>82139672.432699069</v>
          </cell>
        </row>
      </sheetData>
      <sheetData sheetId="20"/>
      <sheetData sheetId="21"/>
      <sheetData sheetId="22">
        <row r="47">
          <cell r="F47">
            <v>-451365.56730093691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105"/>
  <sheetViews>
    <sheetView tabSelected="1" topLeftCell="A5" zoomScaleNormal="100" workbookViewId="0">
      <selection activeCell="S26" sqref="S26"/>
    </sheetView>
  </sheetViews>
  <sheetFormatPr defaultColWidth="10" defaultRowHeight="15" outlineLevelRow="1" x14ac:dyDescent="0.25"/>
  <cols>
    <col min="1" max="1" width="2.42578125" customWidth="1"/>
    <col min="2" max="2" width="2" style="2" customWidth="1"/>
    <col min="3" max="3" width="5.7109375" customWidth="1"/>
    <col min="4" max="4" width="2" customWidth="1"/>
    <col min="5" max="5" width="65.5703125" customWidth="1"/>
    <col min="6" max="6" width="18.28515625" customWidth="1"/>
    <col min="7" max="13" width="16.28515625" customWidth="1"/>
    <col min="14" max="18" width="18.28515625" customWidth="1"/>
    <col min="19" max="19" width="58.7109375" customWidth="1"/>
    <col min="20" max="20" width="2" style="3" customWidth="1"/>
    <col min="21" max="21" width="17.42578125" bestFit="1" customWidth="1"/>
    <col min="22" max="22" width="22" bestFit="1" customWidth="1"/>
    <col min="23" max="23" width="19.28515625" bestFit="1" customWidth="1"/>
    <col min="24" max="24" width="22" bestFit="1" customWidth="1"/>
    <col min="25" max="25" width="16.85546875" bestFit="1" customWidth="1"/>
    <col min="26" max="26" width="15" bestFit="1" customWidth="1"/>
    <col min="27" max="27" width="15.7109375" bestFit="1" customWidth="1"/>
  </cols>
  <sheetData>
    <row r="1" spans="1:23" ht="15.75" thickBot="1" x14ac:dyDescent="0.3">
      <c r="A1" s="1" t="s">
        <v>0</v>
      </c>
    </row>
    <row r="2" spans="1:23" ht="24.75" x14ac:dyDescent="0.45">
      <c r="C2" s="4" t="s">
        <v>1</v>
      </c>
      <c r="F2" s="5"/>
      <c r="G2" s="6"/>
      <c r="O2" s="7"/>
      <c r="P2" s="8"/>
      <c r="Q2" s="8"/>
      <c r="R2" s="719" t="s">
        <v>207</v>
      </c>
      <c r="S2" s="720"/>
    </row>
    <row r="3" spans="1:23" ht="28.5" thickBot="1" x14ac:dyDescent="0.45">
      <c r="C3" s="9" t="s">
        <v>154</v>
      </c>
      <c r="D3" s="10"/>
      <c r="E3" s="10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21"/>
      <c r="S3" s="722"/>
      <c r="T3" s="11"/>
    </row>
    <row r="4" spans="1:23" ht="27.75" x14ac:dyDescent="0.4"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  <c r="P4" s="16"/>
      <c r="Q4" s="17"/>
      <c r="R4" s="17"/>
      <c r="S4" s="18"/>
      <c r="T4" s="11"/>
    </row>
    <row r="5" spans="1:23" s="19" customFormat="1" ht="12" thickBot="1" x14ac:dyDescent="0.25">
      <c r="C5" s="20"/>
      <c r="D5" s="21"/>
      <c r="E5" s="21"/>
      <c r="F5" s="22" t="s">
        <v>2</v>
      </c>
      <c r="G5" s="22" t="s">
        <v>3</v>
      </c>
      <c r="H5" s="22" t="s">
        <v>4</v>
      </c>
      <c r="I5" s="22" t="s">
        <v>5</v>
      </c>
      <c r="J5" s="22" t="s">
        <v>6</v>
      </c>
      <c r="K5" s="22" t="s">
        <v>7</v>
      </c>
      <c r="L5" s="22" t="s">
        <v>8</v>
      </c>
      <c r="M5" s="22" t="s">
        <v>9</v>
      </c>
      <c r="N5" s="22" t="s">
        <v>10</v>
      </c>
      <c r="O5" s="23" t="s">
        <v>11</v>
      </c>
      <c r="P5" s="23" t="s">
        <v>12</v>
      </c>
      <c r="Q5" s="23" t="s">
        <v>13</v>
      </c>
      <c r="R5" s="23" t="s">
        <v>14</v>
      </c>
      <c r="S5" s="24" t="s">
        <v>15</v>
      </c>
      <c r="T5" s="25"/>
    </row>
    <row r="6" spans="1:23" s="26" customFormat="1" ht="39" thickBot="1" x14ac:dyDescent="0.3">
      <c r="B6" s="27"/>
      <c r="C6" s="723" t="s">
        <v>16</v>
      </c>
      <c r="D6" s="724"/>
      <c r="E6" s="724"/>
      <c r="F6" s="28" t="s">
        <v>17</v>
      </c>
      <c r="G6" s="28" t="s">
        <v>18</v>
      </c>
      <c r="H6" s="28" t="s">
        <v>19</v>
      </c>
      <c r="I6" s="29" t="s">
        <v>20</v>
      </c>
      <c r="J6" s="29" t="s">
        <v>21</v>
      </c>
      <c r="K6" s="29" t="s">
        <v>22</v>
      </c>
      <c r="L6" s="29" t="s">
        <v>23</v>
      </c>
      <c r="M6" s="29" t="s">
        <v>24</v>
      </c>
      <c r="N6" s="30" t="s">
        <v>25</v>
      </c>
      <c r="O6" s="28" t="s">
        <v>26</v>
      </c>
      <c r="P6" s="31" t="s">
        <v>27</v>
      </c>
      <c r="Q6" s="31" t="s">
        <v>28</v>
      </c>
      <c r="R6" s="31" t="s">
        <v>29</v>
      </c>
      <c r="S6" s="29" t="s">
        <v>16</v>
      </c>
      <c r="T6" s="32"/>
    </row>
    <row r="7" spans="1:23" s="26" customFormat="1" x14ac:dyDescent="0.2">
      <c r="B7" s="725" t="s">
        <v>155</v>
      </c>
      <c r="C7" s="726"/>
      <c r="D7" s="726"/>
      <c r="E7" s="727"/>
      <c r="F7" s="33">
        <v>81720043</v>
      </c>
      <c r="G7" s="34">
        <v>9072686</v>
      </c>
      <c r="H7" s="34">
        <v>6028035</v>
      </c>
      <c r="I7" s="35">
        <v>9500226</v>
      </c>
      <c r="J7" s="35">
        <v>4046801</v>
      </c>
      <c r="K7" s="35">
        <v>1121493</v>
      </c>
      <c r="L7" s="35">
        <v>7755601</v>
      </c>
      <c r="M7" s="36">
        <v>3970354</v>
      </c>
      <c r="N7" s="37">
        <f>SUM(F7:M7)</f>
        <v>123215239</v>
      </c>
      <c r="O7" s="38">
        <v>113524998</v>
      </c>
      <c r="P7" s="38">
        <f>+N7+O7</f>
        <v>236740237</v>
      </c>
      <c r="Q7" s="39">
        <v>3463000</v>
      </c>
      <c r="R7" s="38">
        <f>+P7+Q7</f>
        <v>240203237</v>
      </c>
      <c r="S7" s="450" t="str">
        <f>+B7</f>
        <v>Original 2014/15 Level A Budget- Enacted State Budget Allocations (B14-03)</v>
      </c>
      <c r="T7" s="32"/>
      <c r="U7" s="26">
        <v>118455832</v>
      </c>
    </row>
    <row r="8" spans="1:23" s="26" customFormat="1" x14ac:dyDescent="0.2">
      <c r="B8" s="608"/>
      <c r="C8" s="661">
        <v>1</v>
      </c>
      <c r="D8" s="625" t="s">
        <v>185</v>
      </c>
      <c r="E8" s="625"/>
      <c r="F8" s="609"/>
      <c r="G8" s="610"/>
      <c r="H8" s="610"/>
      <c r="I8" s="611"/>
      <c r="J8" s="611"/>
      <c r="K8" s="612"/>
      <c r="L8" s="611"/>
      <c r="M8" s="613"/>
      <c r="N8" s="614"/>
      <c r="O8" s="615">
        <v>95</v>
      </c>
      <c r="P8" s="624">
        <f>+N8+O8</f>
        <v>95</v>
      </c>
      <c r="Q8" s="616"/>
      <c r="R8" s="624">
        <f>+P8+Q8</f>
        <v>95</v>
      </c>
      <c r="S8" s="617"/>
      <c r="T8" s="32"/>
      <c r="U8" s="26">
        <v>121747500</v>
      </c>
    </row>
    <row r="9" spans="1:23" s="40" customFormat="1" ht="14.25" x14ac:dyDescent="0.25">
      <c r="B9" s="449"/>
      <c r="C9" s="445">
        <v>2</v>
      </c>
      <c r="D9" s="447" t="s">
        <v>119</v>
      </c>
      <c r="E9" s="660"/>
      <c r="F9" s="525">
        <v>2396900</v>
      </c>
      <c r="G9" s="526">
        <v>211132</v>
      </c>
      <c r="H9" s="526">
        <v>252078</v>
      </c>
      <c r="I9" s="526">
        <v>184230</v>
      </c>
      <c r="J9" s="526">
        <v>74064</v>
      </c>
      <c r="K9" s="527">
        <v>6984</v>
      </c>
      <c r="L9" s="526">
        <v>139020</v>
      </c>
      <c r="M9" s="528">
        <v>100624</v>
      </c>
      <c r="N9" s="529">
        <f>SUM(F9:M9)</f>
        <v>3365032</v>
      </c>
      <c r="O9" s="531">
        <f>-N9</f>
        <v>-3365032</v>
      </c>
      <c r="P9" s="532">
        <f>+O9+N9</f>
        <v>0</v>
      </c>
      <c r="Q9" s="533">
        <v>0</v>
      </c>
      <c r="R9" s="531">
        <f>+Q9+P9</f>
        <v>0</v>
      </c>
      <c r="S9" s="534" t="s">
        <v>157</v>
      </c>
      <c r="T9" s="41"/>
      <c r="V9" s="44"/>
      <c r="W9" s="44"/>
    </row>
    <row r="10" spans="1:23" s="40" customFormat="1" ht="14.25" x14ac:dyDescent="0.25">
      <c r="B10" s="449"/>
      <c r="C10" s="622">
        <v>3</v>
      </c>
      <c r="D10" s="621" t="s">
        <v>189</v>
      </c>
      <c r="E10" s="659"/>
      <c r="F10" s="525"/>
      <c r="G10" s="526"/>
      <c r="H10" s="526"/>
      <c r="I10" s="526"/>
      <c r="J10" s="440"/>
      <c r="K10" s="527"/>
      <c r="L10" s="440"/>
      <c r="M10" s="528"/>
      <c r="N10" s="529"/>
      <c r="O10" s="531">
        <v>-1377053</v>
      </c>
      <c r="P10" s="532">
        <f>+O10+N10</f>
        <v>-1377053</v>
      </c>
      <c r="Q10" s="533"/>
      <c r="R10" s="531">
        <f>+Q10+P10</f>
        <v>-1377053</v>
      </c>
      <c r="S10" s="652" t="s">
        <v>189</v>
      </c>
      <c r="T10" s="41"/>
      <c r="V10" s="44"/>
      <c r="W10" s="44"/>
    </row>
    <row r="11" spans="1:23" s="40" customFormat="1" ht="14.25" x14ac:dyDescent="0.25">
      <c r="B11" s="449"/>
      <c r="C11" s="622">
        <v>4</v>
      </c>
      <c r="D11" s="621" t="s">
        <v>188</v>
      </c>
      <c r="E11" s="620"/>
      <c r="F11" s="525"/>
      <c r="G11" s="440"/>
      <c r="H11" s="526"/>
      <c r="I11" s="526"/>
      <c r="J11" s="527"/>
      <c r="K11" s="527"/>
      <c r="L11" s="527"/>
      <c r="M11" s="441"/>
      <c r="N11" s="529"/>
      <c r="O11" s="531">
        <v>1377053</v>
      </c>
      <c r="P11" s="532">
        <f>+O11+N11</f>
        <v>1377053</v>
      </c>
      <c r="Q11" s="533"/>
      <c r="R11" s="531">
        <f>+Q11+P11</f>
        <v>1377053</v>
      </c>
      <c r="S11" s="621" t="s">
        <v>188</v>
      </c>
      <c r="T11" s="41"/>
      <c r="V11" s="44"/>
      <c r="W11" s="44"/>
    </row>
    <row r="12" spans="1:23" s="40" customFormat="1" ht="14.25" x14ac:dyDescent="0.25">
      <c r="B12" s="449"/>
      <c r="C12" s="446">
        <v>5</v>
      </c>
      <c r="D12" s="444" t="s">
        <v>156</v>
      </c>
      <c r="E12" s="658"/>
      <c r="F12" s="42">
        <v>1119489</v>
      </c>
      <c r="G12" s="43">
        <v>42444</v>
      </c>
      <c r="H12" s="440">
        <v>18036</v>
      </c>
      <c r="I12" s="440">
        <v>22122</v>
      </c>
      <c r="J12" s="43">
        <v>13812</v>
      </c>
      <c r="K12" s="43">
        <v>0</v>
      </c>
      <c r="L12" s="43">
        <v>36180</v>
      </c>
      <c r="M12" s="623">
        <v>1992</v>
      </c>
      <c r="N12" s="530">
        <f>SUM(F12:M12)</f>
        <v>1254075</v>
      </c>
      <c r="O12" s="442">
        <f>-N12</f>
        <v>-1254075</v>
      </c>
      <c r="P12" s="532">
        <f>+O12+N12</f>
        <v>0</v>
      </c>
      <c r="Q12" s="532">
        <v>0</v>
      </c>
      <c r="R12" s="531">
        <f>+Q12+P12</f>
        <v>0</v>
      </c>
      <c r="S12" s="443" t="s">
        <v>158</v>
      </c>
      <c r="T12" s="41"/>
      <c r="U12" s="40">
        <f>SUM(U7:U9)</f>
        <v>240203332</v>
      </c>
      <c r="V12" s="44"/>
      <c r="W12" s="44"/>
    </row>
    <row r="13" spans="1:23" s="40" customFormat="1" ht="14.25" x14ac:dyDescent="0.25">
      <c r="B13" s="51"/>
      <c r="C13" s="45"/>
      <c r="D13" s="46"/>
      <c r="E13" s="46" t="s">
        <v>160</v>
      </c>
      <c r="F13" s="587">
        <f>SUM(F7:F12)</f>
        <v>85236432</v>
      </c>
      <c r="G13" s="590">
        <f t="shared" ref="G13:R13" si="0">SUM(G7:G12)</f>
        <v>9326262</v>
      </c>
      <c r="H13" s="590">
        <f t="shared" si="0"/>
        <v>6298149</v>
      </c>
      <c r="I13" s="590">
        <f t="shared" si="0"/>
        <v>9706578</v>
      </c>
      <c r="J13" s="590">
        <f t="shared" si="0"/>
        <v>4134677</v>
      </c>
      <c r="K13" s="590">
        <f t="shared" si="0"/>
        <v>1128477</v>
      </c>
      <c r="L13" s="590">
        <f t="shared" si="0"/>
        <v>7930801</v>
      </c>
      <c r="M13" s="588">
        <f t="shared" si="0"/>
        <v>4072970</v>
      </c>
      <c r="N13" s="47">
        <f t="shared" si="0"/>
        <v>127834346</v>
      </c>
      <c r="O13" s="47">
        <f t="shared" si="0"/>
        <v>108905986</v>
      </c>
      <c r="P13" s="47">
        <f t="shared" si="0"/>
        <v>236740332</v>
      </c>
      <c r="Q13" s="47">
        <f t="shared" si="0"/>
        <v>3463000</v>
      </c>
      <c r="R13" s="47">
        <f t="shared" si="0"/>
        <v>240203332</v>
      </c>
      <c r="S13" s="48" t="str">
        <f>+E13</f>
        <v>Final 2014/15 Level A Budget</v>
      </c>
      <c r="T13" s="41"/>
      <c r="U13" s="49" t="s">
        <v>30</v>
      </c>
    </row>
    <row r="14" spans="1:23" x14ac:dyDescent="0.25">
      <c r="B14" s="53"/>
      <c r="C14" s="56">
        <v>6</v>
      </c>
      <c r="D14" s="61" t="s">
        <v>118</v>
      </c>
      <c r="E14" s="62"/>
      <c r="F14" s="63">
        <v>425214</v>
      </c>
      <c r="G14" s="64">
        <v>151620</v>
      </c>
      <c r="H14" s="64">
        <v>221614</v>
      </c>
      <c r="I14" s="64">
        <v>538627</v>
      </c>
      <c r="J14" s="64">
        <v>27218</v>
      </c>
      <c r="K14" s="64">
        <v>0</v>
      </c>
      <c r="L14" s="64">
        <v>9964</v>
      </c>
      <c r="M14" s="64">
        <v>1248</v>
      </c>
      <c r="N14" s="65">
        <f>SUM(F14:M14)</f>
        <v>1375505</v>
      </c>
      <c r="O14" s="66">
        <f>-N14</f>
        <v>-1375505</v>
      </c>
      <c r="P14" s="67">
        <f>+O14+N14</f>
        <v>0</v>
      </c>
      <c r="Q14" s="68">
        <v>0</v>
      </c>
      <c r="R14" s="67">
        <f>+P14+Q14</f>
        <v>0</v>
      </c>
      <c r="S14" s="69" t="s">
        <v>159</v>
      </c>
      <c r="T14" s="54"/>
      <c r="U14" s="55"/>
    </row>
    <row r="15" spans="1:23" s="40" customFormat="1" ht="14.25" x14ac:dyDescent="0.25">
      <c r="B15" s="51"/>
      <c r="C15" s="70"/>
      <c r="D15" s="71"/>
      <c r="E15" s="71" t="s">
        <v>161</v>
      </c>
      <c r="F15" s="72">
        <f t="shared" ref="F15:R15" si="1">SUM(F14:F14)</f>
        <v>425214</v>
      </c>
      <c r="G15" s="589">
        <f t="shared" si="1"/>
        <v>151620</v>
      </c>
      <c r="H15" s="73">
        <f t="shared" si="1"/>
        <v>221614</v>
      </c>
      <c r="I15" s="73">
        <f t="shared" si="1"/>
        <v>538627</v>
      </c>
      <c r="J15" s="73">
        <f t="shared" si="1"/>
        <v>27218</v>
      </c>
      <c r="K15" s="73">
        <f t="shared" si="1"/>
        <v>0</v>
      </c>
      <c r="L15" s="73">
        <f t="shared" si="1"/>
        <v>9964</v>
      </c>
      <c r="M15" s="74">
        <f t="shared" si="1"/>
        <v>1248</v>
      </c>
      <c r="N15" s="75">
        <f t="shared" si="1"/>
        <v>1375505</v>
      </c>
      <c r="O15" s="75">
        <f t="shared" si="1"/>
        <v>-1375505</v>
      </c>
      <c r="P15" s="75">
        <f t="shared" si="1"/>
        <v>0</v>
      </c>
      <c r="Q15" s="75">
        <f t="shared" si="1"/>
        <v>0</v>
      </c>
      <c r="R15" s="75">
        <f t="shared" si="1"/>
        <v>0</v>
      </c>
      <c r="S15" s="76" t="str">
        <f>+E15</f>
        <v>Total 2014/15 One-Time Adjustments</v>
      </c>
      <c r="T15" s="41"/>
      <c r="U15" s="50"/>
    </row>
    <row r="16" spans="1:23" s="40" customFormat="1" ht="18" customHeight="1" thickBot="1" x14ac:dyDescent="0.3">
      <c r="B16" s="51"/>
      <c r="C16" s="629"/>
      <c r="D16" s="627" t="s">
        <v>162</v>
      </c>
      <c r="E16" s="372"/>
      <c r="F16" s="584">
        <f t="shared" ref="F16:R16" si="2">F13+F15</f>
        <v>85661646</v>
      </c>
      <c r="G16" s="586">
        <f t="shared" si="2"/>
        <v>9477882</v>
      </c>
      <c r="H16" s="586">
        <f t="shared" si="2"/>
        <v>6519763</v>
      </c>
      <c r="I16" s="591">
        <f t="shared" si="2"/>
        <v>10245205</v>
      </c>
      <c r="J16" s="176">
        <f t="shared" si="2"/>
        <v>4161895</v>
      </c>
      <c r="K16" s="586">
        <f t="shared" si="2"/>
        <v>1128477</v>
      </c>
      <c r="L16" s="586">
        <f t="shared" si="2"/>
        <v>7940765</v>
      </c>
      <c r="M16" s="585">
        <f t="shared" si="2"/>
        <v>4074218</v>
      </c>
      <c r="N16" s="52">
        <f t="shared" si="2"/>
        <v>129209851</v>
      </c>
      <c r="O16" s="52">
        <f t="shared" si="2"/>
        <v>107530481</v>
      </c>
      <c r="P16" s="52">
        <f t="shared" si="2"/>
        <v>236740332</v>
      </c>
      <c r="Q16" s="52">
        <f t="shared" si="2"/>
        <v>3463000</v>
      </c>
      <c r="R16" s="52">
        <f t="shared" si="2"/>
        <v>240203332</v>
      </c>
      <c r="S16" s="654" t="str">
        <f>+D16</f>
        <v>Subtotal 2014/15 Revised Base Budget Before Permanent Adjust.</v>
      </c>
      <c r="T16" s="41"/>
      <c r="U16" s="50"/>
    </row>
    <row r="17" spans="2:23" s="87" customFormat="1" ht="14.25" x14ac:dyDescent="0.2">
      <c r="B17" s="53"/>
      <c r="C17" s="628">
        <f>+C14+1</f>
        <v>7</v>
      </c>
      <c r="D17" s="626" t="s">
        <v>33</v>
      </c>
      <c r="E17" s="329"/>
      <c r="F17" s="330">
        <v>0</v>
      </c>
      <c r="G17" s="331">
        <v>0</v>
      </c>
      <c r="H17" s="331">
        <v>0</v>
      </c>
      <c r="I17" s="331">
        <v>0</v>
      </c>
      <c r="J17" s="331">
        <v>0</v>
      </c>
      <c r="K17" s="331">
        <v>0</v>
      </c>
      <c r="L17" s="331">
        <v>0</v>
      </c>
      <c r="M17" s="332">
        <v>0</v>
      </c>
      <c r="N17" s="376">
        <f>SUM(F17:M17)</f>
        <v>0</v>
      </c>
      <c r="O17" s="322">
        <v>798000</v>
      </c>
      <c r="P17" s="327">
        <f>+N17+O17</f>
        <v>798000</v>
      </c>
      <c r="Q17" s="333">
        <v>0</v>
      </c>
      <c r="R17" s="333">
        <f t="shared" ref="R17:R21" si="3">+P17+Q17</f>
        <v>798000</v>
      </c>
      <c r="S17" s="653" t="s">
        <v>34</v>
      </c>
      <c r="T17" s="54"/>
      <c r="U17" s="91" t="s">
        <v>35</v>
      </c>
      <c r="V17" s="92"/>
      <c r="W17" s="92"/>
    </row>
    <row r="18" spans="2:23" s="87" customFormat="1" ht="14.25" x14ac:dyDescent="0.2">
      <c r="B18" s="53"/>
      <c r="C18" s="316">
        <v>5</v>
      </c>
      <c r="D18" s="317" t="s">
        <v>70</v>
      </c>
      <c r="E18" s="318"/>
      <c r="F18" s="319">
        <v>0</v>
      </c>
      <c r="G18" s="320">
        <v>0</v>
      </c>
      <c r="H18" s="320"/>
      <c r="I18" s="320"/>
      <c r="J18" s="320"/>
      <c r="K18" s="320"/>
      <c r="L18" s="320"/>
      <c r="M18" s="321"/>
      <c r="N18" s="376">
        <f>SUM(F18:M18)</f>
        <v>0</v>
      </c>
      <c r="O18" s="322">
        <v>1209000</v>
      </c>
      <c r="P18" s="327">
        <f>+N18+O18</f>
        <v>1209000</v>
      </c>
      <c r="Q18" s="324"/>
      <c r="R18" s="328">
        <f t="shared" si="3"/>
        <v>1209000</v>
      </c>
      <c r="S18" s="334" t="str">
        <f>D18</f>
        <v>Student Success Funding</v>
      </c>
      <c r="T18" s="54"/>
      <c r="U18" s="91"/>
      <c r="V18" s="92"/>
      <c r="W18" s="92"/>
    </row>
    <row r="19" spans="2:23" s="87" customFormat="1" ht="14.25" x14ac:dyDescent="0.2">
      <c r="B19" s="53"/>
      <c r="C19" s="316">
        <v>6</v>
      </c>
      <c r="D19" s="317" t="s">
        <v>36</v>
      </c>
      <c r="E19" s="318"/>
      <c r="F19" s="319">
        <v>0</v>
      </c>
      <c r="G19" s="320">
        <v>0</v>
      </c>
      <c r="H19" s="320">
        <v>0</v>
      </c>
      <c r="I19" s="320">
        <v>0</v>
      </c>
      <c r="J19" s="320">
        <v>0</v>
      </c>
      <c r="K19" s="320">
        <v>0</v>
      </c>
      <c r="L19" s="320">
        <v>0</v>
      </c>
      <c r="M19" s="321">
        <v>0</v>
      </c>
      <c r="N19" s="376">
        <f>SUM(F19:M19)</f>
        <v>0</v>
      </c>
      <c r="O19" s="322">
        <v>3159000</v>
      </c>
      <c r="P19" s="323">
        <f>+N19+O19</f>
        <v>3159000</v>
      </c>
      <c r="Q19" s="322">
        <v>0</v>
      </c>
      <c r="R19" s="322">
        <f t="shared" si="3"/>
        <v>3159000</v>
      </c>
      <c r="S19" s="334" t="str">
        <f>D19</f>
        <v>Retirement Adjustment</v>
      </c>
      <c r="T19" s="54"/>
      <c r="U19" s="94" t="s">
        <v>37</v>
      </c>
      <c r="V19" s="92"/>
      <c r="W19" s="92"/>
    </row>
    <row r="20" spans="2:23" s="87" customFormat="1" ht="14.25" x14ac:dyDescent="0.2">
      <c r="B20" s="53"/>
      <c r="C20" s="325">
        <v>7</v>
      </c>
      <c r="D20" s="657" t="s">
        <v>180</v>
      </c>
      <c r="E20" s="594"/>
      <c r="F20" s="319"/>
      <c r="G20" s="320"/>
      <c r="H20" s="320"/>
      <c r="I20" s="320"/>
      <c r="J20" s="320"/>
      <c r="K20" s="320"/>
      <c r="L20" s="320"/>
      <c r="M20" s="321"/>
      <c r="N20" s="376"/>
      <c r="O20" s="544">
        <v>48700</v>
      </c>
      <c r="P20" s="322">
        <f>O20</f>
        <v>48700</v>
      </c>
      <c r="Q20" s="544"/>
      <c r="R20" s="324">
        <f t="shared" si="3"/>
        <v>48700</v>
      </c>
      <c r="S20" s="326" t="s">
        <v>180</v>
      </c>
      <c r="T20" s="54"/>
      <c r="U20" s="94"/>
      <c r="V20" s="92"/>
      <c r="W20" s="92"/>
    </row>
    <row r="21" spans="2:23" s="87" customFormat="1" ht="14.25" x14ac:dyDescent="0.2">
      <c r="B21" s="53"/>
      <c r="C21" s="619">
        <v>8</v>
      </c>
      <c r="D21" s="536" t="s">
        <v>168</v>
      </c>
      <c r="E21" s="537"/>
      <c r="F21" s="538"/>
      <c r="G21" s="539"/>
      <c r="H21" s="320"/>
      <c r="I21" s="320"/>
      <c r="J21" s="320"/>
      <c r="K21" s="320"/>
      <c r="L21" s="320"/>
      <c r="M21" s="540"/>
      <c r="N21" s="541"/>
      <c r="O21" s="542">
        <v>1454000</v>
      </c>
      <c r="P21" s="543">
        <f>O21</f>
        <v>1454000</v>
      </c>
      <c r="Q21" s="541"/>
      <c r="R21" s="544">
        <f t="shared" si="3"/>
        <v>1454000</v>
      </c>
      <c r="S21" s="655" t="str">
        <f>D21</f>
        <v>2% Compensation Increase Pool</v>
      </c>
      <c r="T21" s="54"/>
      <c r="U21" s="94"/>
      <c r="V21" s="92"/>
      <c r="W21" s="92"/>
    </row>
    <row r="22" spans="2:23" s="87" customFormat="1" thickBot="1" x14ac:dyDescent="0.25">
      <c r="B22" s="53"/>
      <c r="C22" s="545"/>
      <c r="D22" s="546" t="s">
        <v>169</v>
      </c>
      <c r="E22" s="547"/>
      <c r="F22" s="548"/>
      <c r="G22" s="549"/>
      <c r="H22" s="550"/>
      <c r="I22" s="550"/>
      <c r="J22" s="550"/>
      <c r="K22" s="550"/>
      <c r="L22" s="550"/>
      <c r="M22" s="551"/>
      <c r="N22" s="552"/>
      <c r="O22" s="553">
        <f>SUM(O17:O21)</f>
        <v>6668700</v>
      </c>
      <c r="P22" s="553">
        <f>SUM(P17:P21)</f>
        <v>6668700</v>
      </c>
      <c r="Q22" s="553">
        <f>SUM(Q17:Q21)</f>
        <v>0</v>
      </c>
      <c r="R22" s="553">
        <f>SUM(R17:R21)</f>
        <v>6668700</v>
      </c>
      <c r="S22" s="582" t="str">
        <f>D22</f>
        <v>Subtotal 2015/16 Chancellor's Office Adjustments</v>
      </c>
      <c r="T22" s="54"/>
      <c r="U22" s="94"/>
      <c r="V22" s="92"/>
      <c r="W22" s="92"/>
    </row>
    <row r="23" spans="2:23" s="84" customFormat="1" ht="15.75" thickBot="1" x14ac:dyDescent="0.25">
      <c r="B23" s="85"/>
      <c r="C23" s="95" t="s">
        <v>38</v>
      </c>
      <c r="D23" s="96"/>
      <c r="E23" s="373"/>
      <c r="F23" s="451" t="s">
        <v>0</v>
      </c>
      <c r="G23" s="452" t="s">
        <v>0</v>
      </c>
      <c r="H23" s="453"/>
      <c r="I23" s="454"/>
      <c r="J23" s="454"/>
      <c r="K23" s="97"/>
      <c r="L23" s="454"/>
      <c r="M23" s="455"/>
      <c r="N23" s="456" t="s">
        <v>0</v>
      </c>
      <c r="O23" s="456" t="s">
        <v>0</v>
      </c>
      <c r="P23" s="456" t="s">
        <v>0</v>
      </c>
      <c r="Q23" s="456"/>
      <c r="R23" s="456" t="s">
        <v>0</v>
      </c>
      <c r="S23" s="98"/>
      <c r="T23" s="54"/>
      <c r="U23" s="99"/>
      <c r="W23" s="92"/>
    </row>
    <row r="24" spans="2:23" s="87" customFormat="1" x14ac:dyDescent="0.25">
      <c r="B24" s="53"/>
      <c r="C24" s="335">
        <v>8</v>
      </c>
      <c r="D24" s="336" t="s">
        <v>39</v>
      </c>
      <c r="E24" s="337"/>
      <c r="F24" s="330">
        <v>0</v>
      </c>
      <c r="G24" s="338">
        <v>0</v>
      </c>
      <c r="H24" s="338">
        <v>0</v>
      </c>
      <c r="I24" s="338">
        <v>0</v>
      </c>
      <c r="J24" s="338">
        <v>0</v>
      </c>
      <c r="K24" s="338">
        <v>0</v>
      </c>
      <c r="L24" s="338">
        <v>0</v>
      </c>
      <c r="M24" s="339">
        <v>0</v>
      </c>
      <c r="N24" s="333">
        <f>SUM(F24:M24)</f>
        <v>0</v>
      </c>
      <c r="O24" s="333">
        <v>566000</v>
      </c>
      <c r="P24" s="340">
        <f>+N24+O24</f>
        <v>566000</v>
      </c>
      <c r="Q24" s="340">
        <v>0</v>
      </c>
      <c r="R24" s="333">
        <f>+P24+Q24</f>
        <v>566000</v>
      </c>
      <c r="S24" s="341" t="s">
        <v>40</v>
      </c>
      <c r="T24" s="54"/>
      <c r="U24" s="91" t="s">
        <v>41</v>
      </c>
      <c r="V24" s="92"/>
      <c r="W24" s="92"/>
    </row>
    <row r="25" spans="2:23" s="87" customFormat="1" ht="14.25" x14ac:dyDescent="0.2">
      <c r="B25" s="53"/>
      <c r="C25" s="554">
        <v>9</v>
      </c>
      <c r="D25" s="555" t="s">
        <v>42</v>
      </c>
      <c r="E25" s="556"/>
      <c r="F25" s="319">
        <v>0</v>
      </c>
      <c r="G25" s="320">
        <v>0</v>
      </c>
      <c r="H25" s="539">
        <v>0</v>
      </c>
      <c r="I25" s="539">
        <v>13000</v>
      </c>
      <c r="J25" s="539">
        <v>0</v>
      </c>
      <c r="K25" s="539">
        <v>0</v>
      </c>
      <c r="L25" s="320">
        <v>0</v>
      </c>
      <c r="M25" s="560">
        <v>0</v>
      </c>
      <c r="N25" s="541">
        <f>SUM(F25:M25)</f>
        <v>13000</v>
      </c>
      <c r="O25" s="544">
        <v>0</v>
      </c>
      <c r="P25" s="541">
        <f>+N25+O25</f>
        <v>13000</v>
      </c>
      <c r="Q25" s="541">
        <v>0</v>
      </c>
      <c r="R25" s="544">
        <f>+P25+Q25</f>
        <v>13000</v>
      </c>
      <c r="S25" s="655" t="s">
        <v>42</v>
      </c>
      <c r="T25" s="54"/>
      <c r="U25" s="91" t="s">
        <v>43</v>
      </c>
      <c r="V25" s="92"/>
      <c r="W25" s="92"/>
    </row>
    <row r="26" spans="2:23" s="87" customFormat="1" ht="14.25" x14ac:dyDescent="0.2">
      <c r="B26" s="53"/>
      <c r="C26" s="565"/>
      <c r="D26" s="665" t="s">
        <v>170</v>
      </c>
      <c r="E26" s="571"/>
      <c r="F26" s="570">
        <f t="shared" ref="F26:P26" si="4">SUM(F24:F25)</f>
        <v>0</v>
      </c>
      <c r="G26" s="566">
        <f t="shared" si="4"/>
        <v>0</v>
      </c>
      <c r="H26" s="566">
        <f t="shared" si="4"/>
        <v>0</v>
      </c>
      <c r="I26" s="566">
        <f t="shared" si="4"/>
        <v>13000</v>
      </c>
      <c r="J26" s="64">
        <f t="shared" si="4"/>
        <v>0</v>
      </c>
      <c r="K26" s="566">
        <f t="shared" si="4"/>
        <v>0</v>
      </c>
      <c r="L26" s="566">
        <f t="shared" si="4"/>
        <v>0</v>
      </c>
      <c r="M26" s="569">
        <f t="shared" si="4"/>
        <v>0</v>
      </c>
      <c r="N26" s="568">
        <f t="shared" si="4"/>
        <v>13000</v>
      </c>
      <c r="O26" s="568">
        <f t="shared" si="4"/>
        <v>566000</v>
      </c>
      <c r="P26" s="568">
        <f t="shared" si="4"/>
        <v>579000</v>
      </c>
      <c r="Q26" s="568"/>
      <c r="R26" s="568">
        <f>SUM(R24:R25)</f>
        <v>579000</v>
      </c>
      <c r="S26" s="656" t="str">
        <f>D26</f>
        <v>Subtotal 2015/16 Mandatory Adjustments</v>
      </c>
      <c r="T26" s="54"/>
      <c r="W26" s="92"/>
    </row>
    <row r="27" spans="2:23" s="87" customFormat="1" thickBot="1" x14ac:dyDescent="0.25">
      <c r="B27" s="53"/>
      <c r="C27" s="564"/>
      <c r="D27" s="546"/>
      <c r="E27" s="71" t="s">
        <v>171</v>
      </c>
      <c r="F27" s="557"/>
      <c r="G27" s="558"/>
      <c r="H27" s="559"/>
      <c r="I27" s="559">
        <f>I26</f>
        <v>13000</v>
      </c>
      <c r="J27" s="558"/>
      <c r="K27" s="559"/>
      <c r="L27" s="559"/>
      <c r="M27" s="567"/>
      <c r="N27" s="561">
        <f>N26+N22</f>
        <v>13000</v>
      </c>
      <c r="O27" s="561">
        <f>O26+O22</f>
        <v>7234700</v>
      </c>
      <c r="P27" s="561">
        <f>P26+P22</f>
        <v>7247700</v>
      </c>
      <c r="Q27" s="561"/>
      <c r="R27" s="561">
        <f>R26+R22</f>
        <v>7247700</v>
      </c>
      <c r="S27" s="583" t="str">
        <f>E27</f>
        <v>Total 2015/16 Chancellor Office Adjustments</v>
      </c>
      <c r="T27" s="54"/>
      <c r="W27" s="92"/>
    </row>
    <row r="28" spans="2:23" s="84" customFormat="1" ht="15.75" thickBot="1" x14ac:dyDescent="0.25">
      <c r="B28" s="85"/>
      <c r="C28" s="95" t="s">
        <v>44</v>
      </c>
      <c r="D28" s="96"/>
      <c r="E28" s="96"/>
      <c r="F28" s="562"/>
      <c r="G28" s="453"/>
      <c r="H28" s="453"/>
      <c r="I28" s="563" t="s">
        <v>0</v>
      </c>
      <c r="J28" s="453"/>
      <c r="K28" s="453"/>
      <c r="L28" s="453"/>
      <c r="M28" s="455"/>
      <c r="N28" s="456" t="s">
        <v>0</v>
      </c>
      <c r="O28" s="456" t="s">
        <v>0</v>
      </c>
      <c r="P28" s="456" t="s">
        <v>0</v>
      </c>
      <c r="Q28" s="456"/>
      <c r="R28" s="456" t="s">
        <v>0</v>
      </c>
      <c r="S28" s="98"/>
      <c r="T28" s="54"/>
      <c r="W28" s="92"/>
    </row>
    <row r="29" spans="2:23" s="87" customFormat="1" ht="14.25" x14ac:dyDescent="0.2">
      <c r="B29" s="53"/>
      <c r="C29" s="342">
        <v>10</v>
      </c>
      <c r="D29" s="374" t="s">
        <v>115</v>
      </c>
      <c r="E29" s="428"/>
      <c r="F29" s="343"/>
      <c r="G29" s="425"/>
      <c r="H29" s="425"/>
      <c r="I29" s="425"/>
      <c r="J29" s="425"/>
      <c r="K29" s="425"/>
      <c r="L29" s="425"/>
      <c r="M29" s="426"/>
      <c r="N29" s="344">
        <f t="shared" ref="N29:N45" si="5">SUM(F29:M29)</f>
        <v>0</v>
      </c>
      <c r="O29" s="427">
        <v>850000</v>
      </c>
      <c r="P29" s="345">
        <f t="shared" ref="P29:P40" si="6">+N29+O29</f>
        <v>850000</v>
      </c>
      <c r="Q29" s="345"/>
      <c r="R29" s="345">
        <f t="shared" ref="R29:R33" si="7">+P29+Q29</f>
        <v>850000</v>
      </c>
      <c r="S29" s="576" t="str">
        <f t="shared" ref="S29:S43" si="8">D29</f>
        <v>Faculty and Staff Equity Program</v>
      </c>
      <c r="T29" s="54"/>
      <c r="W29" s="92"/>
    </row>
    <row r="30" spans="2:23" s="87" customFormat="1" ht="14.25" x14ac:dyDescent="0.2">
      <c r="B30" s="53"/>
      <c r="C30" s="342">
        <v>11</v>
      </c>
      <c r="D30" s="630" t="s">
        <v>206</v>
      </c>
      <c r="E30" s="428"/>
      <c r="F30" s="343"/>
      <c r="G30" s="425"/>
      <c r="H30" s="425"/>
      <c r="I30" s="425"/>
      <c r="J30" s="425"/>
      <c r="K30" s="425">
        <v>250000</v>
      </c>
      <c r="L30" s="425"/>
      <c r="M30" s="426"/>
      <c r="N30" s="344">
        <f t="shared" si="5"/>
        <v>250000</v>
      </c>
      <c r="O30" s="427">
        <v>-250000</v>
      </c>
      <c r="P30" s="345">
        <f t="shared" si="6"/>
        <v>0</v>
      </c>
      <c r="Q30" s="345"/>
      <c r="R30" s="345">
        <f t="shared" si="7"/>
        <v>0</v>
      </c>
      <c r="S30" s="576" t="s">
        <v>201</v>
      </c>
      <c r="T30" s="54"/>
      <c r="W30" s="92"/>
    </row>
    <row r="31" spans="2:23" s="87" customFormat="1" ht="14.25" x14ac:dyDescent="0.2">
      <c r="B31" s="53"/>
      <c r="C31" s="631">
        <v>13</v>
      </c>
      <c r="D31" s="632" t="s">
        <v>190</v>
      </c>
      <c r="E31" s="428"/>
      <c r="F31" s="343"/>
      <c r="G31" s="425"/>
      <c r="H31" s="425"/>
      <c r="I31" s="425"/>
      <c r="J31" s="425"/>
      <c r="K31" s="425"/>
      <c r="L31" s="425"/>
      <c r="M31" s="426"/>
      <c r="N31" s="344"/>
      <c r="O31" s="427">
        <v>-150000</v>
      </c>
      <c r="P31" s="345">
        <f t="shared" si="6"/>
        <v>-150000</v>
      </c>
      <c r="Q31" s="345"/>
      <c r="R31" s="345">
        <f t="shared" si="7"/>
        <v>-150000</v>
      </c>
      <c r="S31" s="576" t="s">
        <v>190</v>
      </c>
      <c r="T31" s="54"/>
      <c r="W31" s="92"/>
    </row>
    <row r="32" spans="2:23" s="87" customFormat="1" ht="14.25" x14ac:dyDescent="0.2">
      <c r="B32" s="53"/>
      <c r="C32" s="631">
        <v>14</v>
      </c>
      <c r="D32" s="632" t="s">
        <v>191</v>
      </c>
      <c r="E32" s="428"/>
      <c r="F32" s="343"/>
      <c r="G32" s="425"/>
      <c r="H32" s="425"/>
      <c r="I32" s="425"/>
      <c r="J32" s="425"/>
      <c r="K32" s="425"/>
      <c r="L32" s="425"/>
      <c r="M32" s="426"/>
      <c r="N32" s="344"/>
      <c r="O32" s="427">
        <v>150000</v>
      </c>
      <c r="P32" s="345">
        <f t="shared" si="6"/>
        <v>150000</v>
      </c>
      <c r="Q32" s="345"/>
      <c r="R32" s="345">
        <f t="shared" si="7"/>
        <v>150000</v>
      </c>
      <c r="S32" s="576" t="s">
        <v>191</v>
      </c>
      <c r="T32" s="54"/>
      <c r="W32" s="92"/>
    </row>
    <row r="33" spans="1:23" s="87" customFormat="1" ht="14.25" x14ac:dyDescent="0.2">
      <c r="B33" s="53"/>
      <c r="C33" s="631">
        <v>15</v>
      </c>
      <c r="D33" s="632" t="s">
        <v>192</v>
      </c>
      <c r="E33" s="428"/>
      <c r="F33" s="343">
        <v>215000</v>
      </c>
      <c r="G33" s="425"/>
      <c r="H33" s="425"/>
      <c r="I33" s="425"/>
      <c r="J33" s="425"/>
      <c r="K33" s="425"/>
      <c r="L33" s="425"/>
      <c r="M33" s="426"/>
      <c r="N33" s="344">
        <f t="shared" si="5"/>
        <v>215000</v>
      </c>
      <c r="O33" s="427">
        <v>-215000</v>
      </c>
      <c r="P33" s="345">
        <f t="shared" si="6"/>
        <v>0</v>
      </c>
      <c r="Q33" s="345"/>
      <c r="R33" s="345">
        <f t="shared" si="7"/>
        <v>0</v>
      </c>
      <c r="S33" s="576" t="s">
        <v>192</v>
      </c>
      <c r="T33" s="54"/>
      <c r="W33" s="92"/>
    </row>
    <row r="34" spans="1:23" s="87" customFormat="1" ht="14.25" x14ac:dyDescent="0.2">
      <c r="B34" s="53"/>
      <c r="C34" s="342">
        <v>17</v>
      </c>
      <c r="D34" s="618" t="s">
        <v>70</v>
      </c>
      <c r="E34" s="428"/>
      <c r="F34" s="343"/>
      <c r="G34" s="425"/>
      <c r="H34" s="425"/>
      <c r="I34" s="425"/>
      <c r="J34" s="425"/>
      <c r="K34" s="425"/>
      <c r="L34" s="425"/>
      <c r="M34" s="426"/>
      <c r="N34" s="344"/>
      <c r="O34" s="427">
        <v>1088000</v>
      </c>
      <c r="P34" s="345">
        <f t="shared" si="6"/>
        <v>1088000</v>
      </c>
      <c r="Q34" s="345"/>
      <c r="R34" s="345">
        <f t="shared" ref="R34:R42" si="9">+P34+Q34</f>
        <v>1088000</v>
      </c>
      <c r="S34" s="576" t="s">
        <v>193</v>
      </c>
      <c r="T34" s="54"/>
      <c r="W34" s="92"/>
    </row>
    <row r="35" spans="1:23" s="87" customFormat="1" ht="14.25" x14ac:dyDescent="0.2">
      <c r="B35" s="53"/>
      <c r="C35" s="342">
        <v>18</v>
      </c>
      <c r="D35" s="662" t="s">
        <v>184</v>
      </c>
      <c r="E35" s="428"/>
      <c r="F35" s="343"/>
      <c r="G35" s="425"/>
      <c r="H35" s="425"/>
      <c r="I35" s="425"/>
      <c r="J35" s="425"/>
      <c r="K35" s="425"/>
      <c r="L35" s="425">
        <v>150000</v>
      </c>
      <c r="M35" s="426"/>
      <c r="N35" s="344">
        <f t="shared" si="5"/>
        <v>150000</v>
      </c>
      <c r="O35" s="427">
        <v>-150000</v>
      </c>
      <c r="P35" s="345">
        <f t="shared" si="6"/>
        <v>0</v>
      </c>
      <c r="Q35" s="345"/>
      <c r="R35" s="345">
        <f t="shared" si="9"/>
        <v>0</v>
      </c>
      <c r="S35" s="576" t="s">
        <v>195</v>
      </c>
      <c r="T35" s="271"/>
      <c r="W35" s="92"/>
    </row>
    <row r="36" spans="1:23" s="87" customFormat="1" ht="14.25" x14ac:dyDescent="0.2">
      <c r="B36" s="53"/>
      <c r="C36" s="342">
        <v>19</v>
      </c>
      <c r="D36" s="374" t="s">
        <v>196</v>
      </c>
      <c r="E36" s="428"/>
      <c r="F36" s="343"/>
      <c r="G36" s="425"/>
      <c r="H36" s="425"/>
      <c r="I36" s="425"/>
      <c r="J36" s="425"/>
      <c r="K36" s="425"/>
      <c r="L36" s="425"/>
      <c r="M36" s="426"/>
      <c r="N36" s="344"/>
      <c r="O36" s="427">
        <v>-400000</v>
      </c>
      <c r="P36" s="345">
        <f t="shared" si="6"/>
        <v>-400000</v>
      </c>
      <c r="Q36" s="345"/>
      <c r="R36" s="345">
        <f t="shared" si="9"/>
        <v>-400000</v>
      </c>
      <c r="S36" s="683" t="s">
        <v>196</v>
      </c>
      <c r="T36" s="54"/>
      <c r="W36" s="92"/>
    </row>
    <row r="37" spans="1:23" s="87" customFormat="1" ht="14.25" x14ac:dyDescent="0.2">
      <c r="B37" s="53"/>
      <c r="C37" s="342">
        <v>20</v>
      </c>
      <c r="D37" s="662" t="s">
        <v>197</v>
      </c>
      <c r="E37" s="428"/>
      <c r="F37" s="343"/>
      <c r="G37" s="425"/>
      <c r="H37" s="425"/>
      <c r="I37" s="425"/>
      <c r="J37" s="425"/>
      <c r="K37" s="425"/>
      <c r="L37" s="425"/>
      <c r="M37" s="426"/>
      <c r="N37" s="344"/>
      <c r="O37" s="427">
        <v>400000</v>
      </c>
      <c r="P37" s="345">
        <f t="shared" si="6"/>
        <v>400000</v>
      </c>
      <c r="Q37" s="345"/>
      <c r="R37" s="345">
        <f t="shared" si="9"/>
        <v>400000</v>
      </c>
      <c r="S37" s="683" t="s">
        <v>197</v>
      </c>
      <c r="T37" s="271"/>
      <c r="W37" s="92"/>
    </row>
    <row r="38" spans="1:23" s="87" customFormat="1" ht="14.25" x14ac:dyDescent="0.2">
      <c r="B38" s="53"/>
      <c r="C38" s="342">
        <v>21</v>
      </c>
      <c r="D38" s="662" t="s">
        <v>198</v>
      </c>
      <c r="E38" s="428"/>
      <c r="F38" s="343"/>
      <c r="G38" s="425"/>
      <c r="H38" s="425"/>
      <c r="I38" s="425"/>
      <c r="J38" s="425"/>
      <c r="K38" s="425"/>
      <c r="L38" s="425"/>
      <c r="M38" s="426"/>
      <c r="N38" s="344"/>
      <c r="O38" s="427">
        <v>-750000</v>
      </c>
      <c r="P38" s="345">
        <f t="shared" si="6"/>
        <v>-750000</v>
      </c>
      <c r="Q38" s="345"/>
      <c r="R38" s="345">
        <f t="shared" si="9"/>
        <v>-750000</v>
      </c>
      <c r="S38" s="683" t="s">
        <v>198</v>
      </c>
      <c r="T38" s="271"/>
      <c r="W38" s="92"/>
    </row>
    <row r="39" spans="1:23" s="87" customFormat="1" ht="14.25" x14ac:dyDescent="0.2">
      <c r="B39" s="53"/>
      <c r="C39" s="342">
        <v>22</v>
      </c>
      <c r="D39" s="662" t="s">
        <v>202</v>
      </c>
      <c r="E39" s="428"/>
      <c r="F39" s="343"/>
      <c r="G39" s="425"/>
      <c r="H39" s="425"/>
      <c r="I39" s="425"/>
      <c r="J39" s="425"/>
      <c r="K39" s="425"/>
      <c r="L39" s="425"/>
      <c r="M39" s="426"/>
      <c r="N39" s="344"/>
      <c r="O39" s="427">
        <v>750000</v>
      </c>
      <c r="P39" s="345">
        <f t="shared" si="6"/>
        <v>750000</v>
      </c>
      <c r="Q39" s="345"/>
      <c r="R39" s="345">
        <f t="shared" si="9"/>
        <v>750000</v>
      </c>
      <c r="S39" s="683" t="s">
        <v>202</v>
      </c>
      <c r="T39" s="271"/>
      <c r="W39" s="92"/>
    </row>
    <row r="40" spans="1:23" s="87" customFormat="1" ht="14.25" x14ac:dyDescent="0.2">
      <c r="B40" s="53"/>
      <c r="C40" s="342">
        <v>23</v>
      </c>
      <c r="D40" s="662" t="s">
        <v>172</v>
      </c>
      <c r="E40" s="429"/>
      <c r="F40" s="343">
        <v>100000</v>
      </c>
      <c r="G40" s="425"/>
      <c r="H40" s="425"/>
      <c r="I40" s="425"/>
      <c r="J40" s="425"/>
      <c r="K40" s="425"/>
      <c r="L40" s="425"/>
      <c r="M40" s="426"/>
      <c r="N40" s="344">
        <f t="shared" si="5"/>
        <v>100000</v>
      </c>
      <c r="O40" s="427">
        <v>0</v>
      </c>
      <c r="P40" s="345">
        <f t="shared" si="6"/>
        <v>100000</v>
      </c>
      <c r="Q40" s="345"/>
      <c r="R40" s="345">
        <f t="shared" si="9"/>
        <v>100000</v>
      </c>
      <c r="S40" s="576" t="str">
        <f t="shared" si="8"/>
        <v>T.A. Waivers</v>
      </c>
      <c r="T40" s="54"/>
      <c r="W40" s="92"/>
    </row>
    <row r="41" spans="1:23" s="87" customFormat="1" ht="14.25" x14ac:dyDescent="0.2">
      <c r="B41" s="53"/>
      <c r="C41" s="342">
        <v>25</v>
      </c>
      <c r="D41" s="618" t="s">
        <v>173</v>
      </c>
      <c r="E41" s="428"/>
      <c r="F41" s="430"/>
      <c r="G41" s="425"/>
      <c r="H41" s="425"/>
      <c r="I41" s="425"/>
      <c r="J41" s="425">
        <v>250000</v>
      </c>
      <c r="K41" s="425"/>
      <c r="L41" s="425"/>
      <c r="M41" s="426">
        <v>0</v>
      </c>
      <c r="N41" s="344">
        <f t="shared" si="5"/>
        <v>250000</v>
      </c>
      <c r="O41" s="427"/>
      <c r="P41" s="345">
        <f t="shared" ref="P41:P42" si="10">+N41+O41</f>
        <v>250000</v>
      </c>
      <c r="Q41" s="345"/>
      <c r="R41" s="345">
        <f t="shared" si="9"/>
        <v>250000</v>
      </c>
      <c r="S41" s="576" t="str">
        <f t="shared" si="8"/>
        <v>University Advancement</v>
      </c>
      <c r="T41" s="54"/>
      <c r="W41" s="92"/>
    </row>
    <row r="42" spans="1:23" s="87" customFormat="1" ht="14.25" x14ac:dyDescent="0.2">
      <c r="B42" s="53"/>
      <c r="C42" s="342">
        <v>26</v>
      </c>
      <c r="D42" s="662" t="s">
        <v>24</v>
      </c>
      <c r="E42" s="375"/>
      <c r="F42" s="343"/>
      <c r="G42" s="425"/>
      <c r="H42" s="425"/>
      <c r="I42" s="425"/>
      <c r="J42" s="425"/>
      <c r="K42" s="425"/>
      <c r="L42" s="425"/>
      <c r="M42" s="426">
        <v>400000</v>
      </c>
      <c r="N42" s="344">
        <f t="shared" si="5"/>
        <v>400000</v>
      </c>
      <c r="O42" s="427">
        <v>0</v>
      </c>
      <c r="P42" s="345">
        <f t="shared" si="10"/>
        <v>400000</v>
      </c>
      <c r="Q42" s="345"/>
      <c r="R42" s="345">
        <f t="shared" si="9"/>
        <v>400000</v>
      </c>
      <c r="S42" s="576" t="str">
        <f t="shared" si="8"/>
        <v>Athletics</v>
      </c>
      <c r="T42" s="54"/>
      <c r="W42" s="92"/>
    </row>
    <row r="43" spans="1:23" s="87" customFormat="1" ht="14.25" x14ac:dyDescent="0.2">
      <c r="B43" s="53"/>
      <c r="C43" s="342">
        <v>28</v>
      </c>
      <c r="D43" s="431" t="s">
        <v>174</v>
      </c>
      <c r="E43" s="432"/>
      <c r="F43" s="439"/>
      <c r="G43" s="433">
        <v>0</v>
      </c>
      <c r="H43" s="349"/>
      <c r="I43" s="349"/>
      <c r="J43" s="349"/>
      <c r="K43" s="349">
        <v>0</v>
      </c>
      <c r="L43" s="349"/>
      <c r="M43" s="350"/>
      <c r="N43" s="344">
        <f t="shared" si="5"/>
        <v>0</v>
      </c>
      <c r="O43" s="351">
        <v>500000</v>
      </c>
      <c r="P43" s="345">
        <f>N43+O43</f>
        <v>500000</v>
      </c>
      <c r="Q43" s="352"/>
      <c r="R43" s="346">
        <f>P43</f>
        <v>500000</v>
      </c>
      <c r="S43" s="576" t="str">
        <f t="shared" si="8"/>
        <v>Central Benefits</v>
      </c>
      <c r="T43" s="54"/>
      <c r="W43" s="92"/>
    </row>
    <row r="44" spans="1:23" s="87" customFormat="1" ht="14.25" x14ac:dyDescent="0.2">
      <c r="B44" s="53"/>
      <c r="C44" s="342">
        <v>29</v>
      </c>
      <c r="D44" s="431" t="s">
        <v>186</v>
      </c>
      <c r="E44" s="432"/>
      <c r="F44" s="439"/>
      <c r="G44" s="433"/>
      <c r="H44" s="349"/>
      <c r="I44" s="349"/>
      <c r="J44" s="349"/>
      <c r="K44" s="349"/>
      <c r="L44" s="349">
        <v>233566</v>
      </c>
      <c r="M44" s="350"/>
      <c r="N44" s="344">
        <f t="shared" si="5"/>
        <v>233566</v>
      </c>
      <c r="O44" s="351">
        <v>-233566</v>
      </c>
      <c r="P44" s="345">
        <f>N44+O44</f>
        <v>0</v>
      </c>
      <c r="Q44" s="352"/>
      <c r="R44" s="346"/>
      <c r="S44" s="576" t="s">
        <v>187</v>
      </c>
      <c r="T44" s="54"/>
      <c r="W44" s="92"/>
    </row>
    <row r="45" spans="1:23" s="87" customFormat="1" ht="14.25" x14ac:dyDescent="0.2">
      <c r="B45" s="53"/>
      <c r="C45" s="633">
        <v>30</v>
      </c>
      <c r="D45" s="431" t="s">
        <v>71</v>
      </c>
      <c r="E45" s="635"/>
      <c r="F45" s="637">
        <v>3964516</v>
      </c>
      <c r="G45" s="346">
        <v>450964</v>
      </c>
      <c r="H45" s="425">
        <v>259234</v>
      </c>
      <c r="I45" s="425">
        <v>398777</v>
      </c>
      <c r="J45" s="425"/>
      <c r="K45" s="425">
        <v>55591</v>
      </c>
      <c r="L45" s="425">
        <v>340918</v>
      </c>
      <c r="M45" s="640"/>
      <c r="N45" s="641">
        <f t="shared" si="5"/>
        <v>5470000</v>
      </c>
      <c r="O45" s="427">
        <v>0</v>
      </c>
      <c r="P45" s="427">
        <f t="shared" ref="P45" si="11">+N45+O45</f>
        <v>5470000</v>
      </c>
      <c r="Q45" s="427">
        <v>0</v>
      </c>
      <c r="R45" s="347">
        <f t="shared" ref="R45" si="12">+P45+Q45</f>
        <v>5470000</v>
      </c>
      <c r="S45" s="348" t="str">
        <f t="shared" ref="S45" si="13">+D45</f>
        <v>New Level A Funding</v>
      </c>
      <c r="T45" s="105"/>
      <c r="V45" s="92"/>
      <c r="W45" s="92"/>
    </row>
    <row r="46" spans="1:23" s="58" customFormat="1" x14ac:dyDescent="0.25">
      <c r="A46" s="572"/>
      <c r="B46" s="573"/>
      <c r="C46" s="634"/>
      <c r="D46" s="636" t="s">
        <v>175</v>
      </c>
      <c r="E46" s="572"/>
      <c r="F46" s="575">
        <f t="shared" ref="F46:R46" si="14">SUM(F29:F45)</f>
        <v>4279516</v>
      </c>
      <c r="G46" s="638">
        <f t="shared" si="14"/>
        <v>450964</v>
      </c>
      <c r="H46" s="638">
        <f t="shared" si="14"/>
        <v>259234</v>
      </c>
      <c r="I46" s="638">
        <f t="shared" si="14"/>
        <v>398777</v>
      </c>
      <c r="J46" s="638">
        <f t="shared" si="14"/>
        <v>250000</v>
      </c>
      <c r="K46" s="638">
        <f t="shared" si="14"/>
        <v>305591</v>
      </c>
      <c r="L46" s="638">
        <f t="shared" si="14"/>
        <v>724484</v>
      </c>
      <c r="M46" s="639">
        <f t="shared" si="14"/>
        <v>400000</v>
      </c>
      <c r="N46" s="574">
        <f t="shared" si="14"/>
        <v>7068566</v>
      </c>
      <c r="O46" s="642">
        <f t="shared" si="14"/>
        <v>1589434</v>
      </c>
      <c r="P46" s="642">
        <f t="shared" si="14"/>
        <v>8658000</v>
      </c>
      <c r="Q46" s="642">
        <f t="shared" si="14"/>
        <v>0</v>
      </c>
      <c r="R46" s="642">
        <f t="shared" si="14"/>
        <v>8658000</v>
      </c>
      <c r="S46" s="681"/>
      <c r="T46" s="3"/>
    </row>
    <row r="47" spans="1:23" s="108" customFormat="1" thickBot="1" x14ac:dyDescent="0.25">
      <c r="B47" s="109"/>
      <c r="C47" s="110"/>
      <c r="D47" s="111" t="s">
        <v>45</v>
      </c>
      <c r="E47" s="112"/>
      <c r="F47" s="584">
        <f t="shared" ref="F47:P47" si="15">F46+F27</f>
        <v>4279516</v>
      </c>
      <c r="G47" s="586">
        <f t="shared" si="15"/>
        <v>450964</v>
      </c>
      <c r="H47" s="591">
        <f t="shared" si="15"/>
        <v>259234</v>
      </c>
      <c r="I47" s="586">
        <f t="shared" si="15"/>
        <v>411777</v>
      </c>
      <c r="J47" s="591">
        <f t="shared" si="15"/>
        <v>250000</v>
      </c>
      <c r="K47" s="586">
        <f t="shared" si="15"/>
        <v>305591</v>
      </c>
      <c r="L47" s="586">
        <f t="shared" si="15"/>
        <v>724484</v>
      </c>
      <c r="M47" s="585">
        <f t="shared" si="15"/>
        <v>400000</v>
      </c>
      <c r="N47" s="113">
        <f t="shared" si="15"/>
        <v>7081566</v>
      </c>
      <c r="O47" s="113">
        <f t="shared" si="15"/>
        <v>8824134</v>
      </c>
      <c r="P47" s="113">
        <f t="shared" si="15"/>
        <v>15905700</v>
      </c>
      <c r="Q47" s="52">
        <f>SUM(Q29:Q45)</f>
        <v>0</v>
      </c>
      <c r="R47" s="52">
        <f>R46+R27</f>
        <v>15905700</v>
      </c>
      <c r="S47" s="682" t="s">
        <v>45</v>
      </c>
      <c r="T47" s="114"/>
    </row>
    <row r="48" spans="1:23" s="115" customFormat="1" ht="14.25" hidden="1" thickTop="1" thickBot="1" x14ac:dyDescent="0.25">
      <c r="B48" s="53"/>
      <c r="C48" s="86" t="s">
        <v>46</v>
      </c>
      <c r="D48" s="116"/>
      <c r="E48" s="116"/>
      <c r="F48" s="117"/>
      <c r="G48" s="118"/>
      <c r="H48" s="118"/>
      <c r="I48" s="118"/>
      <c r="J48" s="118"/>
      <c r="K48" s="118"/>
      <c r="L48" s="118"/>
      <c r="M48" s="118"/>
      <c r="N48" s="119"/>
      <c r="O48" s="119"/>
      <c r="P48" s="120"/>
      <c r="Q48" s="120"/>
      <c r="R48" s="120"/>
      <c r="S48" s="121"/>
      <c r="T48" s="54"/>
    </row>
    <row r="49" spans="1:24" s="87" customFormat="1" ht="14.25" hidden="1" x14ac:dyDescent="0.2">
      <c r="B49" s="53"/>
      <c r="C49" s="122"/>
      <c r="D49" s="59"/>
      <c r="E49" s="104"/>
      <c r="F49" s="100"/>
      <c r="G49" s="79"/>
      <c r="H49" s="79"/>
      <c r="I49" s="79"/>
      <c r="J49" s="79"/>
      <c r="K49" s="123"/>
      <c r="L49" s="79"/>
      <c r="M49" s="89"/>
      <c r="N49" s="101"/>
      <c r="O49" s="90"/>
      <c r="P49" s="90"/>
      <c r="Q49" s="90"/>
      <c r="R49" s="90"/>
      <c r="S49" s="124"/>
      <c r="T49" s="54"/>
    </row>
    <row r="50" spans="1:24" s="87" customFormat="1" ht="14.25" hidden="1" x14ac:dyDescent="0.2">
      <c r="B50" s="53"/>
      <c r="C50" s="122"/>
      <c r="D50" s="93"/>
      <c r="E50" s="125"/>
      <c r="F50" s="126"/>
      <c r="G50" s="127"/>
      <c r="H50" s="127"/>
      <c r="I50" s="127"/>
      <c r="J50" s="127"/>
      <c r="K50" s="127"/>
      <c r="L50" s="127"/>
      <c r="M50" s="128"/>
      <c r="N50" s="129"/>
      <c r="O50" s="102"/>
      <c r="P50" s="102"/>
      <c r="Q50" s="102"/>
      <c r="R50" s="102"/>
      <c r="S50" s="60"/>
      <c r="T50" s="54"/>
    </row>
    <row r="51" spans="1:24" s="87" customFormat="1" ht="14.25" hidden="1" x14ac:dyDescent="0.2">
      <c r="B51" s="53"/>
      <c r="C51" s="56"/>
      <c r="D51" s="130"/>
      <c r="E51" s="130"/>
      <c r="F51" s="131"/>
      <c r="G51" s="132"/>
      <c r="H51" s="132"/>
      <c r="I51" s="132"/>
      <c r="J51" s="132"/>
      <c r="K51" s="132"/>
      <c r="L51" s="132"/>
      <c r="M51" s="133"/>
      <c r="N51" s="134"/>
      <c r="O51" s="103"/>
      <c r="P51" s="103"/>
      <c r="Q51" s="103"/>
      <c r="R51" s="103"/>
      <c r="S51" s="135"/>
      <c r="T51" s="54"/>
    </row>
    <row r="52" spans="1:24" s="136" customFormat="1" ht="15.75" hidden="1" thickBot="1" x14ac:dyDescent="0.25">
      <c r="B52" s="137"/>
      <c r="C52" s="83"/>
      <c r="D52" s="138"/>
      <c r="E52" s="139"/>
      <c r="F52" s="140"/>
      <c r="G52" s="141"/>
      <c r="H52" s="141"/>
      <c r="I52" s="141"/>
      <c r="J52" s="141"/>
      <c r="K52" s="141"/>
      <c r="L52" s="141"/>
      <c r="M52" s="142"/>
      <c r="N52" s="143"/>
      <c r="O52" s="144"/>
      <c r="P52" s="144"/>
      <c r="Q52" s="144"/>
      <c r="R52" s="144"/>
      <c r="S52" s="145"/>
      <c r="T52" s="54"/>
      <c r="V52" s="146"/>
      <c r="X52" s="146"/>
    </row>
    <row r="53" spans="1:24" s="159" customFormat="1" ht="16.5" thickTop="1" thickBot="1" x14ac:dyDescent="0.25">
      <c r="B53" s="147"/>
      <c r="C53" s="148"/>
      <c r="D53" s="149" t="s">
        <v>167</v>
      </c>
      <c r="E53" s="150"/>
      <c r="F53" s="151">
        <f t="shared" ref="F53:Q53" si="16">+F16+F47</f>
        <v>89941162</v>
      </c>
      <c r="G53" s="152">
        <f t="shared" si="16"/>
        <v>9928846</v>
      </c>
      <c r="H53" s="152">
        <f t="shared" si="16"/>
        <v>6778997</v>
      </c>
      <c r="I53" s="152">
        <f t="shared" si="16"/>
        <v>10656982</v>
      </c>
      <c r="J53" s="152">
        <f t="shared" si="16"/>
        <v>4411895</v>
      </c>
      <c r="K53" s="152">
        <f t="shared" si="16"/>
        <v>1434068</v>
      </c>
      <c r="L53" s="152">
        <f t="shared" si="16"/>
        <v>8665249</v>
      </c>
      <c r="M53" s="153">
        <f t="shared" si="16"/>
        <v>4474218</v>
      </c>
      <c r="N53" s="154">
        <f t="shared" si="16"/>
        <v>136291417</v>
      </c>
      <c r="O53" s="154">
        <f t="shared" si="16"/>
        <v>116354615</v>
      </c>
      <c r="P53" s="154">
        <f t="shared" si="16"/>
        <v>252646032</v>
      </c>
      <c r="Q53" s="154">
        <f t="shared" si="16"/>
        <v>3463000</v>
      </c>
      <c r="R53" s="154">
        <f>P53+Q53</f>
        <v>256109032</v>
      </c>
      <c r="S53" s="155" t="str">
        <f>+D53</f>
        <v xml:space="preserve">     Revised  2015/16 Base Budget</v>
      </c>
      <c r="T53" s="54"/>
      <c r="U53" s="156">
        <v>227204237</v>
      </c>
      <c r="V53" s="157"/>
      <c r="W53" s="157"/>
      <c r="X53" s="158"/>
    </row>
    <row r="54" spans="1:24" s="84" customFormat="1" ht="16.5" thickTop="1" thickBot="1" x14ac:dyDescent="0.25">
      <c r="B54" s="85"/>
      <c r="C54" s="160" t="s">
        <v>47</v>
      </c>
      <c r="D54" s="161"/>
      <c r="E54" s="161"/>
      <c r="F54" s="162"/>
      <c r="G54" s="162"/>
      <c r="H54" s="162"/>
      <c r="I54" s="162"/>
      <c r="J54" s="162"/>
      <c r="K54" s="162"/>
      <c r="L54" s="162"/>
      <c r="M54" s="162"/>
      <c r="N54" s="163"/>
      <c r="O54" s="164"/>
      <c r="P54" s="165"/>
      <c r="Q54" s="165"/>
      <c r="R54" s="165"/>
      <c r="S54" s="166"/>
      <c r="T54" s="54"/>
      <c r="V54" s="167"/>
    </row>
    <row r="55" spans="1:24" x14ac:dyDescent="0.25">
      <c r="B55" s="53"/>
      <c r="C55" s="666">
        <v>31</v>
      </c>
      <c r="D55" s="168" t="s">
        <v>164</v>
      </c>
      <c r="E55" s="78"/>
      <c r="F55" s="88">
        <f t="shared" ref="F55:M55" si="17">+F60</f>
        <v>-453383.68374547927</v>
      </c>
      <c r="G55" s="79">
        <f t="shared" si="17"/>
        <v>-173463.55367844721</v>
      </c>
      <c r="H55" s="79">
        <f t="shared" si="17"/>
        <v>-231633.11814724642</v>
      </c>
      <c r="I55" s="79">
        <f t="shared" si="17"/>
        <v>-587328.64432425937</v>
      </c>
      <c r="J55" s="79">
        <f t="shared" si="17"/>
        <v>-18108.117733324936</v>
      </c>
      <c r="K55" s="79">
        <f t="shared" si="17"/>
        <v>0</v>
      </c>
      <c r="L55" s="79">
        <f t="shared" si="17"/>
        <v>-5088.0440860437266</v>
      </c>
      <c r="M55" s="89">
        <f t="shared" si="17"/>
        <v>-1327.8382851990716</v>
      </c>
      <c r="N55" s="169">
        <f>SUM(F55:M55)</f>
        <v>-1470333</v>
      </c>
      <c r="O55" s="80">
        <f>-N55</f>
        <v>1470333</v>
      </c>
      <c r="P55" s="81">
        <f>+O55+N55</f>
        <v>0</v>
      </c>
      <c r="Q55" s="170">
        <v>0</v>
      </c>
      <c r="R55" s="81">
        <f>+P55+Q55</f>
        <v>0</v>
      </c>
      <c r="S55" s="57" t="s">
        <v>181</v>
      </c>
      <c r="T55" s="54"/>
      <c r="U55" s="171"/>
      <c r="V55" s="77"/>
    </row>
    <row r="56" spans="1:24" s="179" customFormat="1" thickBot="1" x14ac:dyDescent="0.25">
      <c r="B56" s="172"/>
      <c r="C56" s="667"/>
      <c r="D56" s="173" t="s">
        <v>48</v>
      </c>
      <c r="E56" s="174"/>
      <c r="F56" s="113">
        <f t="shared" ref="F56:P56" si="18">SUM(F55:F55)</f>
        <v>-453383.68374547927</v>
      </c>
      <c r="G56" s="175">
        <f t="shared" si="18"/>
        <v>-173463.55367844721</v>
      </c>
      <c r="H56" s="175">
        <f t="shared" si="18"/>
        <v>-231633.11814724642</v>
      </c>
      <c r="I56" s="175">
        <f t="shared" si="18"/>
        <v>-587328.64432425937</v>
      </c>
      <c r="J56" s="175">
        <f t="shared" si="18"/>
        <v>-18108.117733324936</v>
      </c>
      <c r="K56" s="175">
        <f t="shared" si="18"/>
        <v>0</v>
      </c>
      <c r="L56" s="175">
        <f t="shared" si="18"/>
        <v>-5088.0440860437266</v>
      </c>
      <c r="M56" s="176">
        <f t="shared" si="18"/>
        <v>-1327.8382851990716</v>
      </c>
      <c r="N56" s="113">
        <f t="shared" si="18"/>
        <v>-1470333</v>
      </c>
      <c r="O56" s="113">
        <f t="shared" si="18"/>
        <v>1470333</v>
      </c>
      <c r="P56" s="52">
        <f t="shared" si="18"/>
        <v>0</v>
      </c>
      <c r="Q56" s="52">
        <f>SUM(Q55:Q55)</f>
        <v>0</v>
      </c>
      <c r="R56" s="52">
        <v>0</v>
      </c>
      <c r="S56" s="177" t="s">
        <v>49</v>
      </c>
      <c r="T56" s="54"/>
      <c r="U56" s="178"/>
    </row>
    <row r="57" spans="1:24" s="193" customFormat="1" ht="17.25" thickTop="1" thickBot="1" x14ac:dyDescent="0.25">
      <c r="B57" s="180"/>
      <c r="C57" s="181"/>
      <c r="D57" s="182" t="s">
        <v>165</v>
      </c>
      <c r="E57" s="183"/>
      <c r="F57" s="184">
        <f t="shared" ref="F57:M57" si="19">+F56+F53</f>
        <v>89487778.316254526</v>
      </c>
      <c r="G57" s="185">
        <f t="shared" si="19"/>
        <v>9755382.4463215526</v>
      </c>
      <c r="H57" s="185">
        <f t="shared" si="19"/>
        <v>6547363.8818527535</v>
      </c>
      <c r="I57" s="185">
        <f t="shared" si="19"/>
        <v>10069653.35567574</v>
      </c>
      <c r="J57" s="185">
        <f t="shared" si="19"/>
        <v>4393786.8822666751</v>
      </c>
      <c r="K57" s="185">
        <f t="shared" si="19"/>
        <v>1434068</v>
      </c>
      <c r="L57" s="185">
        <f t="shared" si="19"/>
        <v>8660160.9559139553</v>
      </c>
      <c r="M57" s="186">
        <f t="shared" si="19"/>
        <v>4472890.1617148006</v>
      </c>
      <c r="N57" s="187">
        <f>+N53+N56</f>
        <v>134821084</v>
      </c>
      <c r="O57" s="188">
        <f>+O56+O53</f>
        <v>117824948</v>
      </c>
      <c r="P57" s="188">
        <f>+P56+P53</f>
        <v>252646032</v>
      </c>
      <c r="Q57" s="188">
        <f>+Q56+Q53</f>
        <v>3463000</v>
      </c>
      <c r="R57" s="188">
        <f>+R56+R53</f>
        <v>256109032</v>
      </c>
      <c r="S57" s="189" t="s">
        <v>194</v>
      </c>
      <c r="T57" s="190"/>
      <c r="U57" s="191">
        <v>128678532</v>
      </c>
      <c r="V57" s="192"/>
    </row>
    <row r="58" spans="1:24" s="205" customFormat="1" ht="13.5" thickTop="1" thickBot="1" x14ac:dyDescent="0.25">
      <c r="B58" s="194"/>
      <c r="C58" s="195"/>
      <c r="D58" s="196"/>
      <c r="E58" s="197" t="s">
        <v>50</v>
      </c>
      <c r="F58" s="198">
        <f>+F57/$N57</f>
        <v>0.66375210509547988</v>
      </c>
      <c r="G58" s="199">
        <f t="shared" ref="G58:N58" si="20">+G57/$N57</f>
        <v>7.2357988505132864E-2</v>
      </c>
      <c r="H58" s="199">
        <f t="shared" si="20"/>
        <v>4.8563352908902242E-2</v>
      </c>
      <c r="I58" s="199">
        <f t="shared" si="20"/>
        <v>7.4689010479071213E-2</v>
      </c>
      <c r="J58" s="199">
        <f t="shared" si="20"/>
        <v>3.2589760829001162E-2</v>
      </c>
      <c r="K58" s="199">
        <f t="shared" si="20"/>
        <v>1.0636822946772925E-2</v>
      </c>
      <c r="L58" s="199">
        <f t="shared" si="20"/>
        <v>6.4234470595963725E-2</v>
      </c>
      <c r="M58" s="199">
        <f t="shared" si="20"/>
        <v>3.3176488639675976E-2</v>
      </c>
      <c r="N58" s="199">
        <f t="shared" si="20"/>
        <v>1</v>
      </c>
      <c r="O58" s="200"/>
      <c r="P58" s="200"/>
      <c r="Q58" s="200"/>
      <c r="R58" s="200"/>
      <c r="S58" s="201"/>
      <c r="T58" s="202"/>
      <c r="U58" s="203">
        <v>89637300</v>
      </c>
      <c r="V58" s="204"/>
    </row>
    <row r="59" spans="1:24" s="214" customFormat="1" ht="7.9" customHeight="1" thickTop="1" thickBot="1" x14ac:dyDescent="0.25">
      <c r="A59" s="206"/>
      <c r="B59" s="207"/>
      <c r="C59" s="206"/>
      <c r="D59" s="206"/>
      <c r="E59" s="206"/>
      <c r="F59" s="208"/>
      <c r="G59" s="208"/>
      <c r="H59" s="208"/>
      <c r="I59" s="208"/>
      <c r="J59" s="208"/>
      <c r="K59" s="208"/>
      <c r="L59" s="209"/>
      <c r="M59" s="208"/>
      <c r="N59" s="210"/>
      <c r="O59" s="211"/>
      <c r="P59" s="211"/>
      <c r="Q59" s="212"/>
      <c r="R59" s="213"/>
      <c r="S59" s="669"/>
    </row>
    <row r="60" spans="1:24" ht="15.75" thickBot="1" x14ac:dyDescent="0.3">
      <c r="B60" s="215"/>
      <c r="C60" s="216" t="s">
        <v>166</v>
      </c>
      <c r="D60" s="217"/>
      <c r="E60" s="218"/>
      <c r="F60" s="219">
        <f>+$N$60*F61</f>
        <v>-453383.68374547927</v>
      </c>
      <c r="G60" s="220">
        <f t="shared" ref="G60:M60" si="21">+$N$60*G61</f>
        <v>-173463.55367844721</v>
      </c>
      <c r="H60" s="220">
        <f t="shared" si="21"/>
        <v>-231633.11814724642</v>
      </c>
      <c r="I60" s="220">
        <f t="shared" si="21"/>
        <v>-587328.64432425937</v>
      </c>
      <c r="J60" s="220">
        <f t="shared" si="21"/>
        <v>-18108.117733324936</v>
      </c>
      <c r="K60" s="220">
        <f t="shared" si="21"/>
        <v>0</v>
      </c>
      <c r="L60" s="220">
        <f t="shared" si="21"/>
        <v>-5088.0440860437266</v>
      </c>
      <c r="M60" s="220">
        <f t="shared" si="21"/>
        <v>-1327.8382851990716</v>
      </c>
      <c r="N60" s="221">
        <v>-1470333</v>
      </c>
      <c r="O60" s="222" t="s">
        <v>51</v>
      </c>
      <c r="P60" s="223" t="s">
        <v>52</v>
      </c>
      <c r="Q60" s="224"/>
      <c r="R60" s="225"/>
      <c r="U60" s="214">
        <v>37793200</v>
      </c>
    </row>
    <row r="61" spans="1:24" ht="15.75" thickBot="1" x14ac:dyDescent="0.3">
      <c r="B61" s="215"/>
      <c r="C61" s="226" t="s">
        <v>203</v>
      </c>
      <c r="D61" s="227"/>
      <c r="E61" s="228"/>
      <c r="F61" s="229">
        <f>'WC 15-16'!J27</f>
        <v>0.30835442294057147</v>
      </c>
      <c r="G61" s="230">
        <f>'WC 15-16'!J50</f>
        <v>0.11797569236251053</v>
      </c>
      <c r="H61" s="230">
        <f>'WC 15-16'!J36</f>
        <v>0.15753786261156244</v>
      </c>
      <c r="I61" s="230">
        <f>'WC 15-16'!J39</f>
        <v>0.39945280716970871</v>
      </c>
      <c r="J61" s="230">
        <f>'WC 15-16'!J58</f>
        <v>1.2315657564187796E-2</v>
      </c>
      <c r="K61" s="230">
        <f>+'[1]WC Rate 11.12'!G6</f>
        <v>0</v>
      </c>
      <c r="L61" s="230">
        <f>'WC 15-16'!J42</f>
        <v>3.4604705777832138E-3</v>
      </c>
      <c r="M61" s="230">
        <f>'WC 15-16'!J7</f>
        <v>9.0308677367580787E-4</v>
      </c>
      <c r="N61" s="231">
        <f>SUM(F61:M61)</f>
        <v>1.0000000000000002</v>
      </c>
      <c r="O61" s="232">
        <v>1440000</v>
      </c>
      <c r="P61" s="233">
        <f>O61+O31+O33+O35</f>
        <v>925000</v>
      </c>
      <c r="Q61" s="234" t="s">
        <v>117</v>
      </c>
      <c r="R61" s="233"/>
      <c r="S61" s="601" t="s">
        <v>0</v>
      </c>
    </row>
    <row r="62" spans="1:24" ht="15.75" thickBot="1" x14ac:dyDescent="0.3">
      <c r="B62" s="215"/>
      <c r="C62" s="434"/>
      <c r="D62" s="435"/>
      <c r="E62" s="435"/>
      <c r="F62" s="437"/>
      <c r="G62" s="436"/>
      <c r="H62" s="438"/>
      <c r="I62" s="438"/>
      <c r="J62" s="438"/>
      <c r="K62" s="436"/>
      <c r="L62" s="436"/>
      <c r="M62" s="436"/>
      <c r="N62" s="436"/>
      <c r="O62" s="235">
        <v>532358</v>
      </c>
      <c r="P62" s="448">
        <f>O62+O44+O30+O8</f>
        <v>48887</v>
      </c>
      <c r="Q62" s="234" t="s">
        <v>116</v>
      </c>
      <c r="R62" s="233"/>
      <c r="S62" s="601"/>
      <c r="U62">
        <f>SUM(U57:U61)</f>
        <v>256109032</v>
      </c>
    </row>
    <row r="63" spans="1:24" x14ac:dyDescent="0.25">
      <c r="B63" s="355"/>
      <c r="C63" s="472"/>
      <c r="D63" s="369"/>
      <c r="E63" s="369"/>
      <c r="F63" s="457"/>
      <c r="G63" s="457"/>
      <c r="H63" s="370"/>
      <c r="I63" s="370"/>
      <c r="J63" s="370"/>
      <c r="K63" s="457"/>
      <c r="L63" s="457"/>
      <c r="M63" s="457"/>
      <c r="N63" s="371"/>
      <c r="O63" s="235">
        <f>650000+320000</f>
        <v>970000</v>
      </c>
      <c r="P63" s="236">
        <f>650000+320000</f>
        <v>970000</v>
      </c>
      <c r="Q63" s="234" t="s">
        <v>53</v>
      </c>
      <c r="R63" s="233"/>
      <c r="S63" s="602"/>
    </row>
    <row r="64" spans="1:24" ht="15.75" thickBot="1" x14ac:dyDescent="0.3">
      <c r="A64" s="354"/>
      <c r="B64" s="355"/>
      <c r="C64" s="354"/>
      <c r="D64" s="354"/>
      <c r="E64" s="354"/>
      <c r="F64" s="458"/>
      <c r="G64" s="458"/>
      <c r="H64" s="458"/>
      <c r="I64" s="458"/>
      <c r="J64" s="458"/>
      <c r="K64" s="458"/>
      <c r="L64" s="458"/>
      <c r="M64" s="458"/>
      <c r="N64" s="459"/>
      <c r="O64" s="237">
        <v>52428598</v>
      </c>
      <c r="P64" s="238">
        <f>+O64+O19+O24+O43+O11+O37+O39</f>
        <v>59180651</v>
      </c>
      <c r="Q64" s="239" t="s">
        <v>54</v>
      </c>
      <c r="R64" s="238"/>
      <c r="S64" s="604" t="s">
        <v>0</v>
      </c>
    </row>
    <row r="65" spans="1:28" ht="39" thickBot="1" x14ac:dyDescent="0.3">
      <c r="A65" s="354"/>
      <c r="B65" s="355"/>
      <c r="C65" s="718" t="s">
        <v>65</v>
      </c>
      <c r="D65" s="718"/>
      <c r="E65" s="718"/>
      <c r="F65" s="279" t="s">
        <v>178</v>
      </c>
      <c r="G65" s="280" t="s">
        <v>66</v>
      </c>
      <c r="H65" s="279" t="s">
        <v>60</v>
      </c>
      <c r="I65" s="279" t="s">
        <v>179</v>
      </c>
      <c r="J65" s="279" t="s">
        <v>183</v>
      </c>
      <c r="K65" s="279" t="s">
        <v>121</v>
      </c>
      <c r="L65" s="279" t="s">
        <v>176</v>
      </c>
      <c r="M65" s="279" t="s">
        <v>177</v>
      </c>
      <c r="N65" s="279" t="s">
        <v>67</v>
      </c>
      <c r="O65" s="237">
        <v>4479753</v>
      </c>
      <c r="P65" s="240">
        <f>+O65+O55+O14+O36</f>
        <v>4174581</v>
      </c>
      <c r="Q65" s="239" t="s">
        <v>55</v>
      </c>
      <c r="R65" s="240"/>
      <c r="S65" s="603"/>
      <c r="T65" s="3">
        <f>+O65-P65</f>
        <v>305172</v>
      </c>
    </row>
    <row r="66" spans="1:28" x14ac:dyDescent="0.25">
      <c r="A66" s="354"/>
      <c r="B66" s="355"/>
      <c r="C66" s="663"/>
      <c r="D66" s="282" t="s">
        <v>23</v>
      </c>
      <c r="E66" s="673"/>
      <c r="F66" s="672">
        <v>5500911</v>
      </c>
      <c r="G66" s="285">
        <v>0.64129999999999998</v>
      </c>
      <c r="H66" s="286">
        <v>120372</v>
      </c>
      <c r="I66" s="286">
        <v>29784</v>
      </c>
      <c r="J66" s="286">
        <v>260027</v>
      </c>
      <c r="K66" s="287">
        <v>9964</v>
      </c>
      <c r="L66" s="287">
        <f>L60</f>
        <v>-5088.0440860437266</v>
      </c>
      <c r="M66" s="286">
        <f>SUM(H66:L66)+F66</f>
        <v>5915969.9559139563</v>
      </c>
      <c r="N66" s="288">
        <v>4.5380148691886897E-2</v>
      </c>
      <c r="O66" s="237">
        <v>36995200</v>
      </c>
      <c r="P66" s="240">
        <f>+O66+O17</f>
        <v>37793200</v>
      </c>
      <c r="Q66" s="239" t="s">
        <v>56</v>
      </c>
      <c r="R66" s="240"/>
      <c r="S66" s="603" t="s">
        <v>0</v>
      </c>
      <c r="T66" s="3">
        <f>+O66-P66</f>
        <v>-798000</v>
      </c>
    </row>
    <row r="67" spans="1:28" x14ac:dyDescent="0.25">
      <c r="A67" s="354"/>
      <c r="B67" s="355"/>
      <c r="C67" s="664"/>
      <c r="D67" s="291" t="s">
        <v>68</v>
      </c>
      <c r="E67" s="670"/>
      <c r="F67" s="671">
        <v>598670</v>
      </c>
      <c r="G67" s="294">
        <v>0.15920000000000001</v>
      </c>
      <c r="H67" s="296">
        <v>18648</v>
      </c>
      <c r="I67" s="296">
        <v>6396</v>
      </c>
      <c r="J67" s="296">
        <v>80891</v>
      </c>
      <c r="K67" s="295">
        <v>0</v>
      </c>
      <c r="L67" s="295">
        <v>0</v>
      </c>
      <c r="M67" s="651">
        <f>SUM(H67:L67)+F67</f>
        <v>704605</v>
      </c>
      <c r="N67" s="298">
        <v>4.7832462270774052E-3</v>
      </c>
      <c r="O67" s="237">
        <v>0</v>
      </c>
      <c r="P67" s="240">
        <v>0</v>
      </c>
      <c r="Q67" s="239" t="s">
        <v>57</v>
      </c>
      <c r="R67" s="592"/>
      <c r="S67" s="603"/>
      <c r="T67" s="3">
        <f>+O67-P67</f>
        <v>0</v>
      </c>
    </row>
    <row r="68" spans="1:28" x14ac:dyDescent="0.25">
      <c r="A68" s="354"/>
      <c r="B68" s="355"/>
      <c r="C68" s="646"/>
      <c r="D68" s="299" t="s">
        <v>199</v>
      </c>
      <c r="E68" s="674"/>
      <c r="F68" s="671">
        <v>0</v>
      </c>
      <c r="G68" s="294">
        <v>0</v>
      </c>
      <c r="H68" s="300">
        <v>0</v>
      </c>
      <c r="I68" s="295">
        <v>0</v>
      </c>
      <c r="J68" s="295">
        <v>233566</v>
      </c>
      <c r="K68" s="300">
        <v>0</v>
      </c>
      <c r="L68" s="300">
        <v>0</v>
      </c>
      <c r="M68" s="651">
        <f>SUM(H68:L68)+F68</f>
        <v>233566</v>
      </c>
      <c r="N68" s="386">
        <v>0</v>
      </c>
      <c r="O68" s="237">
        <v>1559820</v>
      </c>
      <c r="P68" s="240">
        <f>Sheet1!E36+Sheet1!E37+Sheet1!E38</f>
        <v>1559820</v>
      </c>
      <c r="Q68" s="239" t="s">
        <v>58</v>
      </c>
      <c r="R68" s="240"/>
      <c r="S68" s="603"/>
      <c r="T68" s="3">
        <f>+O68-P68</f>
        <v>0</v>
      </c>
    </row>
    <row r="69" spans="1:28" ht="15" customHeight="1" thickBot="1" x14ac:dyDescent="0.3">
      <c r="A69" s="354"/>
      <c r="B69" s="355"/>
      <c r="C69" s="644"/>
      <c r="D69" s="645" t="s">
        <v>200</v>
      </c>
      <c r="E69" s="675"/>
      <c r="F69" s="676">
        <v>1656020</v>
      </c>
      <c r="G69" s="647">
        <v>0.19950000000000001</v>
      </c>
      <c r="H69" s="389">
        <v>0</v>
      </c>
      <c r="I69" s="648">
        <v>0</v>
      </c>
      <c r="J69" s="648">
        <v>150000</v>
      </c>
      <c r="K69" s="300">
        <v>0</v>
      </c>
      <c r="L69" s="300">
        <v>0</v>
      </c>
      <c r="M69" s="651">
        <f>SUM(H69:L69)+F69</f>
        <v>1806020</v>
      </c>
      <c r="N69" s="386">
        <v>1.4136605081035694E-2</v>
      </c>
      <c r="O69" s="237"/>
      <c r="P69" s="240"/>
      <c r="Q69" s="239" t="s">
        <v>152</v>
      </c>
      <c r="R69" s="240"/>
      <c r="S69" s="603"/>
      <c r="T69" s="3">
        <f>+O69-P69</f>
        <v>0</v>
      </c>
    </row>
    <row r="70" spans="1:28" ht="15.75" thickBot="1" x14ac:dyDescent="0.3">
      <c r="A70" s="572"/>
      <c r="B70" s="577"/>
      <c r="C70" s="643"/>
      <c r="D70" s="393" t="s">
        <v>25</v>
      </c>
      <c r="E70" s="677"/>
      <c r="F70" s="678">
        <f>SUM(F66:F69)</f>
        <v>7755601</v>
      </c>
      <c r="G70" s="304">
        <v>1</v>
      </c>
      <c r="H70" s="303">
        <f t="shared" ref="H70:N70" si="22">SUM(H66:H69)</f>
        <v>139020</v>
      </c>
      <c r="I70" s="303">
        <f t="shared" si="22"/>
        <v>36180</v>
      </c>
      <c r="J70" s="303">
        <f t="shared" si="22"/>
        <v>724484</v>
      </c>
      <c r="K70" s="388">
        <f t="shared" si="22"/>
        <v>9964</v>
      </c>
      <c r="L70" s="388">
        <f t="shared" si="22"/>
        <v>-5088.0440860437266</v>
      </c>
      <c r="M70" s="385">
        <f t="shared" si="22"/>
        <v>8660160.9559139572</v>
      </c>
      <c r="N70" s="387">
        <f t="shared" si="22"/>
        <v>6.4299999999999996E-2</v>
      </c>
      <c r="O70" s="237">
        <v>1150000</v>
      </c>
      <c r="P70" s="240">
        <f>+O70</f>
        <v>1150000</v>
      </c>
      <c r="Q70" s="239" t="s">
        <v>59</v>
      </c>
      <c r="R70" s="240"/>
      <c r="S70" s="82"/>
    </row>
    <row r="71" spans="1:28" s="179" customFormat="1" ht="15.75" thickTop="1" x14ac:dyDescent="0.25">
      <c r="A71" s="578"/>
      <c r="B71" s="579"/>
      <c r="C71" s="572"/>
      <c r="D71" s="580"/>
      <c r="E71" s="572"/>
      <c r="F71" s="679"/>
      <c r="G71" s="680"/>
      <c r="H71" s="305"/>
      <c r="I71" s="305"/>
      <c r="J71" s="305"/>
      <c r="K71" s="305"/>
      <c r="L71" s="305"/>
      <c r="M71" s="290"/>
      <c r="N71" s="581"/>
      <c r="O71" s="237">
        <v>5981598</v>
      </c>
      <c r="P71" s="240">
        <f>O71+O21+O20+O9+O12+O10+O29+O32</f>
        <v>2488138</v>
      </c>
      <c r="Q71" s="239" t="s">
        <v>60</v>
      </c>
      <c r="R71" s="240"/>
      <c r="S71" s="604" t="s">
        <v>0</v>
      </c>
      <c r="U71"/>
      <c r="V71"/>
      <c r="W71"/>
      <c r="X71"/>
      <c r="Y71"/>
      <c r="Z71"/>
      <c r="AA71"/>
      <c r="AB71"/>
    </row>
    <row r="72" spans="1:28" s="246" customFormat="1" x14ac:dyDescent="0.25">
      <c r="A72" s="356"/>
      <c r="B72" s="357"/>
      <c r="C72" s="356"/>
      <c r="D72" s="356"/>
      <c r="E72" s="356"/>
      <c r="F72" s="461"/>
      <c r="G72" s="695" t="s">
        <v>0</v>
      </c>
      <c r="H72" s="461"/>
      <c r="I72" s="461"/>
      <c r="J72" s="461" t="s">
        <v>0</v>
      </c>
      <c r="K72" s="649" t="s">
        <v>0</v>
      </c>
      <c r="L72" s="461" t="s">
        <v>0</v>
      </c>
      <c r="M72" s="461"/>
      <c r="N72" s="461"/>
      <c r="O72" s="241">
        <v>8074472</v>
      </c>
      <c r="P72" s="242">
        <f>O72+O38-1</f>
        <v>7324471</v>
      </c>
      <c r="Q72" s="243" t="s">
        <v>61</v>
      </c>
      <c r="R72" s="244"/>
      <c r="S72" s="605" t="s">
        <v>0</v>
      </c>
      <c r="T72" s="245"/>
      <c r="U72"/>
      <c r="V72"/>
      <c r="W72"/>
      <c r="X72"/>
      <c r="Y72"/>
      <c r="Z72"/>
      <c r="AA72"/>
      <c r="AB72"/>
    </row>
    <row r="73" spans="1:28" s="249" customFormat="1" x14ac:dyDescent="0.25">
      <c r="A73" s="358"/>
      <c r="B73" s="359"/>
      <c r="C73" s="358"/>
      <c r="D73" s="358"/>
      <c r="E73" s="360"/>
      <c r="F73" s="460"/>
      <c r="G73" s="694"/>
      <c r="H73" s="460"/>
      <c r="I73" s="460"/>
      <c r="J73" s="460" t="s">
        <v>0</v>
      </c>
      <c r="K73" s="650" t="s">
        <v>0</v>
      </c>
      <c r="L73" s="460" t="s">
        <v>0</v>
      </c>
      <c r="M73" s="460">
        <f>L57-M70</f>
        <v>0</v>
      </c>
      <c r="N73" s="460"/>
      <c r="O73" s="237">
        <v>-86800</v>
      </c>
      <c r="P73" s="237">
        <v>-86800</v>
      </c>
      <c r="Q73" s="239" t="s">
        <v>62</v>
      </c>
      <c r="R73" s="247"/>
      <c r="S73" s="606" t="s">
        <v>0</v>
      </c>
      <c r="T73" s="248"/>
      <c r="U73"/>
      <c r="V73"/>
      <c r="W73"/>
      <c r="X73"/>
      <c r="Y73"/>
      <c r="Z73"/>
      <c r="AA73"/>
      <c r="AB73"/>
    </row>
    <row r="74" spans="1:28" ht="15.75" thickBot="1" x14ac:dyDescent="0.3">
      <c r="A74" s="360"/>
      <c r="B74" s="355"/>
      <c r="C74" s="360"/>
      <c r="D74" s="360"/>
      <c r="E74" s="360"/>
      <c r="F74" s="460"/>
      <c r="G74" s="460"/>
      <c r="H74" s="460"/>
      <c r="I74" s="460"/>
      <c r="J74" s="460"/>
      <c r="K74" s="460"/>
      <c r="L74" s="460"/>
      <c r="M74" s="462"/>
      <c r="N74" s="462"/>
      <c r="O74" s="463">
        <v>0</v>
      </c>
      <c r="P74" s="668">
        <f>O18+O34</f>
        <v>2297000</v>
      </c>
      <c r="Q74" s="598" t="s">
        <v>70</v>
      </c>
      <c r="R74" s="593"/>
      <c r="S74" s="607"/>
      <c r="T74" s="250"/>
    </row>
    <row r="75" spans="1:28" s="258" customFormat="1" ht="16.5" outlineLevel="1" thickTop="1" thickBot="1" x14ac:dyDescent="0.3">
      <c r="A75" s="361"/>
      <c r="B75" s="362"/>
      <c r="C75" s="361"/>
      <c r="D75" s="361"/>
      <c r="E75" s="464"/>
      <c r="F75" s="461"/>
      <c r="G75" s="461"/>
      <c r="H75" s="461"/>
      <c r="I75" s="461"/>
      <c r="J75" s="461"/>
      <c r="K75" s="461"/>
      <c r="L75" s="461"/>
      <c r="M75" s="465"/>
      <c r="N75" s="466"/>
      <c r="O75" s="252">
        <f>SUM(O61:O74)-1</f>
        <v>113524998</v>
      </c>
      <c r="P75" s="253">
        <f>SUM(P61:P74)</f>
        <v>117824948</v>
      </c>
      <c r="Q75" s="254" t="s">
        <v>63</v>
      </c>
      <c r="R75" s="255"/>
      <c r="S75" s="256"/>
      <c r="T75" s="257"/>
      <c r="U75"/>
      <c r="V75"/>
      <c r="W75"/>
      <c r="X75"/>
      <c r="Y75"/>
      <c r="Z75"/>
      <c r="AA75"/>
      <c r="AB75"/>
    </row>
    <row r="76" spans="1:28" s="84" customFormat="1" ht="15.75" thickTop="1" x14ac:dyDescent="0.25">
      <c r="A76" s="363"/>
      <c r="B76" s="355"/>
      <c r="C76" s="364"/>
      <c r="D76" s="363"/>
      <c r="E76" s="365" t="s">
        <v>23</v>
      </c>
      <c r="F76" s="366"/>
      <c r="G76" s="367"/>
      <c r="H76" s="367"/>
      <c r="I76" s="367"/>
      <c r="J76" s="367"/>
      <c r="K76" s="367"/>
      <c r="L76" s="367"/>
      <c r="M76" s="368"/>
      <c r="N76" s="354"/>
      <c r="O76" s="259"/>
      <c r="P76" s="260">
        <f>+P75-O57</f>
        <v>0</v>
      </c>
      <c r="Q76" s="259"/>
      <c r="R76" s="259"/>
      <c r="S76" s="261"/>
      <c r="T76" s="3"/>
      <c r="U76"/>
      <c r="V76"/>
      <c r="W76"/>
      <c r="X76"/>
      <c r="Y76"/>
      <c r="Z76"/>
      <c r="AA76"/>
      <c r="AB76"/>
    </row>
    <row r="77" spans="1:28" x14ac:dyDescent="0.25">
      <c r="C77" s="107"/>
      <c r="D77" s="106"/>
      <c r="E77" s="467" t="s">
        <v>31</v>
      </c>
      <c r="F77" s="468"/>
      <c r="G77" s="469"/>
      <c r="H77" s="469"/>
      <c r="I77" s="469"/>
      <c r="J77" s="262"/>
      <c r="K77" s="470"/>
      <c r="L77" s="469"/>
      <c r="M77" s="471"/>
      <c r="N77" s="264"/>
      <c r="O77" s="265"/>
      <c r="P77" s="600">
        <f>O57-P75</f>
        <v>0</v>
      </c>
      <c r="Q77" s="77"/>
      <c r="R77" s="77"/>
      <c r="S77" s="266"/>
      <c r="U77" s="84"/>
    </row>
    <row r="78" spans="1:28" s="267" customFormat="1" x14ac:dyDescent="0.25">
      <c r="B78" s="268"/>
      <c r="E78" s="269"/>
      <c r="F78" s="270"/>
      <c r="G78" s="271"/>
      <c r="H78" s="271"/>
      <c r="I78" s="271"/>
      <c r="J78" s="271"/>
      <c r="K78" s="271"/>
      <c r="L78" s="271"/>
      <c r="M78" s="271"/>
      <c r="N78"/>
      <c r="O78" s="271"/>
      <c r="P78" s="271" t="s">
        <v>0</v>
      </c>
      <c r="Q78" s="272"/>
      <c r="R78" s="273"/>
      <c r="T78" s="248"/>
      <c r="U78"/>
    </row>
    <row r="79" spans="1:28" s="87" customFormat="1" ht="12.75" x14ac:dyDescent="0.2">
      <c r="B79" s="268"/>
      <c r="E79" s="274"/>
      <c r="F79" s="275"/>
      <c r="G79" s="106"/>
      <c r="H79" s="276"/>
      <c r="I79" s="275"/>
      <c r="J79" s="277"/>
      <c r="N79" s="271"/>
      <c r="P79" s="278"/>
      <c r="Q79" s="278"/>
      <c r="T79" s="250"/>
      <c r="U79" s="267"/>
    </row>
    <row r="80" spans="1:28" ht="15.75" thickBot="1" x14ac:dyDescent="0.3">
      <c r="B80"/>
      <c r="C80" s="94" t="s">
        <v>64</v>
      </c>
      <c r="F80" s="82"/>
      <c r="G80" s="82"/>
      <c r="H80" s="82"/>
      <c r="I80" s="82"/>
      <c r="J80" s="82"/>
      <c r="K80" s="82"/>
      <c r="L80" s="82"/>
      <c r="T80"/>
      <c r="U80" s="87"/>
    </row>
    <row r="81" spans="2:20" ht="39" thickBot="1" x14ac:dyDescent="0.3">
      <c r="C81" s="718" t="s">
        <v>65</v>
      </c>
      <c r="D81" s="718"/>
      <c r="E81" s="718"/>
      <c r="F81" s="279" t="s">
        <v>72</v>
      </c>
      <c r="G81" s="280" t="s">
        <v>66</v>
      </c>
      <c r="H81" s="279" t="s">
        <v>60</v>
      </c>
      <c r="I81" s="279" t="s">
        <v>73</v>
      </c>
      <c r="J81" s="279" t="s">
        <v>74</v>
      </c>
      <c r="K81" s="279" t="s">
        <v>120</v>
      </c>
      <c r="L81" s="279" t="s">
        <v>121</v>
      </c>
      <c r="M81" s="279" t="s">
        <v>75</v>
      </c>
      <c r="N81" s="279" t="s">
        <v>67</v>
      </c>
    </row>
    <row r="82" spans="2:20" x14ac:dyDescent="0.25">
      <c r="B82"/>
      <c r="C82" s="663"/>
      <c r="D82" s="282" t="s">
        <v>23</v>
      </c>
      <c r="E82" s="283"/>
      <c r="F82" s="284">
        <f>5316017</f>
        <v>5316017</v>
      </c>
      <c r="G82" s="285">
        <v>0.64129999999999998</v>
      </c>
      <c r="H82" s="286">
        <v>53909</v>
      </c>
      <c r="I82" s="286">
        <v>28829</v>
      </c>
      <c r="J82" s="286">
        <f>L45*G91</f>
        <v>260027.01403425308</v>
      </c>
      <c r="K82" s="287">
        <v>13095</v>
      </c>
      <c r="L82" s="287">
        <v>-9964</v>
      </c>
      <c r="M82" s="286">
        <f>SUM(H82:L82)+F82</f>
        <v>5661913.0140342526</v>
      </c>
      <c r="N82" s="288">
        <v>4.5380148691886897E-2</v>
      </c>
      <c r="O82" s="289"/>
      <c r="P82" s="290"/>
      <c r="T82"/>
    </row>
    <row r="83" spans="2:20" x14ac:dyDescent="0.25">
      <c r="B83"/>
      <c r="C83" s="664"/>
      <c r="D83" s="291" t="s">
        <v>68</v>
      </c>
      <c r="E83" s="292"/>
      <c r="F83" s="293">
        <f>560329</f>
        <v>560329</v>
      </c>
      <c r="G83" s="294">
        <v>0.15920000000000001</v>
      </c>
      <c r="H83" s="296">
        <v>7536</v>
      </c>
      <c r="I83" s="295">
        <v>0</v>
      </c>
      <c r="J83" s="296">
        <f>L45*G93</f>
        <v>80890.985965746906</v>
      </c>
      <c r="K83" s="295">
        <v>0</v>
      </c>
      <c r="L83" s="295">
        <v>0</v>
      </c>
      <c r="M83" s="286">
        <f>SUM(H83:L83)+F83</f>
        <v>648755.98596574692</v>
      </c>
      <c r="N83" s="298">
        <v>4.7832462270774052E-3</v>
      </c>
      <c r="O83" s="289"/>
      <c r="P83" s="297"/>
      <c r="T83"/>
    </row>
    <row r="84" spans="2:20" ht="15.75" thickBot="1" x14ac:dyDescent="0.3">
      <c r="B84"/>
      <c r="C84" s="281"/>
      <c r="D84" s="299" t="s">
        <v>69</v>
      </c>
      <c r="E84" s="392"/>
      <c r="F84" s="391">
        <v>1656020</v>
      </c>
      <c r="G84" s="390">
        <v>0.19950000000000001</v>
      </c>
      <c r="H84" s="389">
        <v>0</v>
      </c>
      <c r="I84" s="389">
        <v>0</v>
      </c>
      <c r="J84" s="389">
        <v>0</v>
      </c>
      <c r="K84" s="300">
        <v>0</v>
      </c>
      <c r="L84" s="300">
        <v>0</v>
      </c>
      <c r="M84" s="286">
        <f>SUM(H84:L84)+F84</f>
        <v>1656020</v>
      </c>
      <c r="N84" s="386">
        <v>1.4136605081035694E-2</v>
      </c>
      <c r="O84" s="289"/>
      <c r="P84" s="297"/>
      <c r="T84"/>
    </row>
    <row r="85" spans="2:20" ht="15.75" thickBot="1" x14ac:dyDescent="0.3">
      <c r="B85"/>
      <c r="C85" s="301"/>
      <c r="D85" s="393" t="s">
        <v>25</v>
      </c>
      <c r="E85" s="302"/>
      <c r="F85" s="303">
        <f>SUM(F82:F84)</f>
        <v>7532366</v>
      </c>
      <c r="G85" s="304">
        <v>1</v>
      </c>
      <c r="H85" s="303">
        <f t="shared" ref="H85:N85" si="23">SUM(H82:H84)</f>
        <v>61445</v>
      </c>
      <c r="I85" s="303">
        <f t="shared" si="23"/>
        <v>28829</v>
      </c>
      <c r="J85" s="303">
        <f t="shared" si="23"/>
        <v>340918</v>
      </c>
      <c r="K85" s="388">
        <f t="shared" si="23"/>
        <v>13095</v>
      </c>
      <c r="L85" s="388">
        <f t="shared" si="23"/>
        <v>-9964</v>
      </c>
      <c r="M85" s="385">
        <f t="shared" si="23"/>
        <v>7966689</v>
      </c>
      <c r="N85" s="387">
        <f t="shared" si="23"/>
        <v>6.4299999999999996E-2</v>
      </c>
      <c r="O85" s="305"/>
      <c r="P85" s="305"/>
      <c r="T85"/>
    </row>
    <row r="86" spans="2:20" ht="16.5" thickTop="1" thickBot="1" x14ac:dyDescent="0.3">
      <c r="B86"/>
      <c r="C86" s="306"/>
      <c r="D86" s="307"/>
      <c r="E86" s="307"/>
      <c r="F86" s="308">
        <f>F85</f>
        <v>7532366</v>
      </c>
      <c r="G86" s="309">
        <v>1</v>
      </c>
      <c r="H86" s="308">
        <f t="shared" ref="H86:M86" si="24">H85</f>
        <v>61445</v>
      </c>
      <c r="I86" s="308">
        <f t="shared" si="24"/>
        <v>28829</v>
      </c>
      <c r="J86" s="308">
        <f t="shared" si="24"/>
        <v>340918</v>
      </c>
      <c r="K86" s="308">
        <f t="shared" si="24"/>
        <v>13095</v>
      </c>
      <c r="L86" s="308">
        <f t="shared" si="24"/>
        <v>-9964</v>
      </c>
      <c r="M86" s="308">
        <f t="shared" si="24"/>
        <v>7966689</v>
      </c>
      <c r="N86" s="310">
        <v>6.4299999999999996E-2</v>
      </c>
      <c r="O86" s="311"/>
      <c r="P86" s="311"/>
      <c r="T86"/>
    </row>
    <row r="87" spans="2:20" ht="15.75" thickTop="1" x14ac:dyDescent="0.25">
      <c r="B87"/>
      <c r="T87"/>
    </row>
    <row r="88" spans="2:20" x14ac:dyDescent="0.25">
      <c r="F88" s="312"/>
      <c r="G88" s="313"/>
      <c r="H88" s="263"/>
      <c r="K88" s="77"/>
    </row>
    <row r="89" spans="2:20" x14ac:dyDescent="0.25">
      <c r="F89" s="312">
        <v>0.69889999999999997</v>
      </c>
      <c r="G89" s="313">
        <v>7.9500000000000001E-2</v>
      </c>
      <c r="H89" s="378">
        <v>4.5699999999999998E-2</v>
      </c>
      <c r="I89" s="378">
        <v>7.0300000000000001E-2</v>
      </c>
      <c r="J89" s="378">
        <v>1.7100000000000001E-2</v>
      </c>
      <c r="K89" s="378">
        <v>9.7999999999999997E-3</v>
      </c>
      <c r="L89" s="378">
        <v>6.0100000000000001E-2</v>
      </c>
      <c r="M89" s="378">
        <v>1.8599999999999998E-2</v>
      </c>
      <c r="N89" s="312">
        <f>SUM(F89:M89)</f>
        <v>1</v>
      </c>
    </row>
    <row r="90" spans="2:20" x14ac:dyDescent="0.25">
      <c r="F90" s="312"/>
      <c r="G90" s="313"/>
      <c r="H90" s="379"/>
      <c r="I90" s="380"/>
      <c r="J90" s="380"/>
      <c r="K90" s="381"/>
      <c r="L90" s="383" t="s">
        <v>0</v>
      </c>
      <c r="M90" s="380"/>
    </row>
    <row r="91" spans="2:20" x14ac:dyDescent="0.25">
      <c r="B91"/>
      <c r="F91" s="312">
        <f>G82</f>
        <v>0.64129999999999998</v>
      </c>
      <c r="G91" s="314">
        <f>F91/F94</f>
        <v>0.76272597526165553</v>
      </c>
      <c r="H91" s="380"/>
      <c r="I91" s="380" t="s">
        <v>0</v>
      </c>
      <c r="J91" s="380"/>
      <c r="K91" s="382" t="s">
        <v>0</v>
      </c>
      <c r="L91" s="383">
        <v>6.4100000000000004E-2</v>
      </c>
      <c r="M91" s="380"/>
      <c r="N91" s="312">
        <f>+N89-J89</f>
        <v>0.9829</v>
      </c>
      <c r="T91"/>
    </row>
    <row r="92" spans="2:20" x14ac:dyDescent="0.25">
      <c r="B92"/>
      <c r="F92" s="312">
        <v>0</v>
      </c>
      <c r="G92" s="315"/>
      <c r="H92" s="380"/>
      <c r="I92" s="384" t="s">
        <v>0</v>
      </c>
      <c r="J92" s="380"/>
      <c r="K92" s="380"/>
      <c r="L92" s="383" t="s">
        <v>0</v>
      </c>
      <c r="M92" s="380"/>
      <c r="T92"/>
    </row>
    <row r="93" spans="2:20" x14ac:dyDescent="0.25">
      <c r="B93"/>
      <c r="F93" s="312">
        <f>G84</f>
        <v>0.19950000000000001</v>
      </c>
      <c r="G93" s="313">
        <f>F93/F94</f>
        <v>0.23727402473834444</v>
      </c>
      <c r="H93" s="380"/>
      <c r="I93" s="380"/>
      <c r="J93" s="380"/>
      <c r="K93" s="380"/>
      <c r="L93" s="378">
        <f>G82*L91</f>
        <v>4.1107330000000004E-2</v>
      </c>
      <c r="M93" s="380"/>
      <c r="T93"/>
    </row>
    <row r="94" spans="2:20" x14ac:dyDescent="0.25">
      <c r="B94"/>
      <c r="F94" s="312">
        <f>SUM(F91:F93)</f>
        <v>0.84079999999999999</v>
      </c>
      <c r="H94" s="380"/>
      <c r="I94" s="380"/>
      <c r="J94" s="380"/>
      <c r="K94" s="380"/>
      <c r="L94" s="378">
        <f>G83*L91</f>
        <v>1.020472E-2</v>
      </c>
      <c r="M94" s="380"/>
      <c r="N94">
        <f>4549000/N91</f>
        <v>4628141.2147726119</v>
      </c>
      <c r="T94"/>
    </row>
    <row r="95" spans="2:20" x14ac:dyDescent="0.25">
      <c r="H95" s="380"/>
      <c r="I95" s="380"/>
      <c r="J95" s="380"/>
      <c r="K95" s="380"/>
      <c r="L95" s="378">
        <f>G84*L91</f>
        <v>1.2787950000000001E-2</v>
      </c>
      <c r="M95" s="380"/>
    </row>
    <row r="96" spans="2:20" x14ac:dyDescent="0.25">
      <c r="G96" s="377" t="s">
        <v>0</v>
      </c>
      <c r="H96" s="380"/>
      <c r="I96" s="380"/>
      <c r="J96" s="380"/>
      <c r="K96" s="380"/>
      <c r="L96" s="380"/>
      <c r="M96" s="380"/>
      <c r="N96" s="353">
        <f>+N94*F89</f>
        <v>3234607.8950045784</v>
      </c>
    </row>
    <row r="97" spans="6:14" x14ac:dyDescent="0.25">
      <c r="H97" s="380"/>
      <c r="I97" s="380"/>
      <c r="J97" s="380"/>
      <c r="K97" s="380"/>
      <c r="L97" s="380"/>
      <c r="M97" s="380"/>
    </row>
    <row r="98" spans="6:14" x14ac:dyDescent="0.25">
      <c r="F98">
        <f>G98/F101</f>
        <v>4.5400000000000003E-2</v>
      </c>
      <c r="G98">
        <v>4.54</v>
      </c>
      <c r="H98" s="380"/>
      <c r="I98" s="380"/>
      <c r="J98" s="380"/>
      <c r="K98" s="380"/>
      <c r="L98" s="380"/>
      <c r="M98" s="380"/>
    </row>
    <row r="99" spans="6:14" x14ac:dyDescent="0.25">
      <c r="G99">
        <v>0.48</v>
      </c>
      <c r="H99" s="380"/>
      <c r="I99" s="380"/>
      <c r="J99" s="380"/>
      <c r="K99" s="380"/>
      <c r="L99" s="380"/>
      <c r="M99" s="380"/>
    </row>
    <row r="100" spans="6:14" x14ac:dyDescent="0.25">
      <c r="G100">
        <v>1.41</v>
      </c>
      <c r="H100" s="380"/>
      <c r="I100" s="380"/>
      <c r="J100" s="380"/>
      <c r="K100" s="380"/>
      <c r="L100" s="380"/>
      <c r="M100" s="380"/>
    </row>
    <row r="101" spans="6:14" x14ac:dyDescent="0.25">
      <c r="F101">
        <v>100</v>
      </c>
      <c r="G101">
        <f>SUM(G98:G100)</f>
        <v>6.43</v>
      </c>
      <c r="H101" s="380"/>
      <c r="I101" s="380"/>
      <c r="J101" s="380"/>
      <c r="K101" s="380"/>
      <c r="L101" s="380"/>
      <c r="M101" s="380"/>
    </row>
    <row r="102" spans="6:14" x14ac:dyDescent="0.25">
      <c r="H102" s="380"/>
      <c r="I102" s="380"/>
      <c r="J102" s="380"/>
      <c r="K102" s="380"/>
      <c r="L102" s="380"/>
      <c r="M102" s="380"/>
      <c r="N102">
        <v>1950000</v>
      </c>
    </row>
    <row r="103" spans="6:14" x14ac:dyDescent="0.25">
      <c r="H103" s="380"/>
      <c r="I103" s="380"/>
      <c r="J103" s="380"/>
      <c r="K103" s="380"/>
      <c r="L103" s="380"/>
      <c r="M103" s="380"/>
      <c r="N103">
        <v>3099000</v>
      </c>
    </row>
    <row r="104" spans="6:14" x14ac:dyDescent="0.25">
      <c r="H104" s="380"/>
      <c r="I104" s="380"/>
      <c r="J104" s="380"/>
      <c r="K104" s="380"/>
      <c r="L104" s="380"/>
      <c r="M104" s="380"/>
    </row>
    <row r="105" spans="6:14" x14ac:dyDescent="0.25">
      <c r="N105">
        <f>SUM(N102:N104)</f>
        <v>5049000</v>
      </c>
    </row>
  </sheetData>
  <mergeCells count="5">
    <mergeCell ref="C81:E81"/>
    <mergeCell ref="R2:S3"/>
    <mergeCell ref="C6:E6"/>
    <mergeCell ref="B7:E7"/>
    <mergeCell ref="C65:E65"/>
  </mergeCells>
  <pageMargins left="0.2" right="0.2" top="0" bottom="0.25" header="0" footer="0"/>
  <pageSetup paperSize="17" scale="5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opLeftCell="A10" workbookViewId="0">
      <selection activeCell="J31" sqref="J31"/>
    </sheetView>
  </sheetViews>
  <sheetFormatPr defaultColWidth="10" defaultRowHeight="15" x14ac:dyDescent="0.25"/>
  <cols>
    <col min="1" max="1" width="2.7109375" style="475" customWidth="1"/>
    <col min="2" max="2" width="35.7109375" style="475" customWidth="1"/>
    <col min="3" max="3" width="34.5703125" style="475" bestFit="1" customWidth="1"/>
    <col min="4" max="4" width="4.28515625" customWidth="1"/>
    <col min="5" max="5" width="13.85546875" style="476" bestFit="1" customWidth="1"/>
    <col min="6" max="6" width="2.42578125" style="475" customWidth="1"/>
    <col min="7" max="7" width="13.85546875" style="476" hidden="1" customWidth="1"/>
    <col min="8" max="8" width="11.7109375" style="476" hidden="1" customWidth="1"/>
    <col min="9" max="9" width="16.28515625" style="475" hidden="1" customWidth="1"/>
    <col min="10" max="10" width="12.5703125" style="475" customWidth="1"/>
    <col min="11" max="16384" width="10" style="475"/>
  </cols>
  <sheetData>
    <row r="1" spans="2:14" x14ac:dyDescent="0.25">
      <c r="B1" s="473" t="s">
        <v>122</v>
      </c>
      <c r="C1" s="474"/>
    </row>
    <row r="2" spans="2:14" x14ac:dyDescent="0.25">
      <c r="B2" s="477" t="s">
        <v>123</v>
      </c>
      <c r="C2" s="478"/>
    </row>
    <row r="3" spans="2:14" x14ac:dyDescent="0.25">
      <c r="B3" s="479" t="s">
        <v>205</v>
      </c>
      <c r="C3" s="480"/>
    </row>
    <row r="4" spans="2:14" x14ac:dyDescent="0.25">
      <c r="B4" s="481"/>
      <c r="C4" s="481"/>
      <c r="G4" s="728" t="s">
        <v>124</v>
      </c>
      <c r="H4" s="729"/>
      <c r="I4" s="730"/>
    </row>
    <row r="5" spans="2:14" ht="45" x14ac:dyDescent="0.25">
      <c r="B5" s="482" t="s">
        <v>125</v>
      </c>
      <c r="C5" s="482" t="s">
        <v>126</v>
      </c>
      <c r="E5" s="483" t="s">
        <v>127</v>
      </c>
      <c r="G5" s="484" t="s">
        <v>128</v>
      </c>
      <c r="H5" s="485" t="s">
        <v>129</v>
      </c>
      <c r="I5" s="486" t="s">
        <v>16</v>
      </c>
      <c r="J5" s="696" t="s">
        <v>208</v>
      </c>
      <c r="K5" s="696" t="s">
        <v>210</v>
      </c>
      <c r="L5" s="696" t="s">
        <v>209</v>
      </c>
      <c r="M5" s="696" t="s">
        <v>211</v>
      </c>
    </row>
    <row r="6" spans="2:14" s="489" customFormat="1" x14ac:dyDescent="0.25">
      <c r="B6" s="487" t="s">
        <v>204</v>
      </c>
      <c r="C6" s="488" t="s">
        <v>130</v>
      </c>
      <c r="D6"/>
      <c r="E6" s="684">
        <v>2297000</v>
      </c>
      <c r="G6" s="490">
        <v>0</v>
      </c>
      <c r="H6" s="490"/>
      <c r="I6" s="491"/>
      <c r="J6" s="697">
        <v>660817</v>
      </c>
      <c r="K6" s="697">
        <v>70001</v>
      </c>
      <c r="L6" s="697">
        <v>90000</v>
      </c>
      <c r="M6" s="698" t="s">
        <v>212</v>
      </c>
      <c r="N6" s="697"/>
    </row>
    <row r="7" spans="2:14" s="489" customFormat="1" x14ac:dyDescent="0.25">
      <c r="B7" s="492" t="s">
        <v>131</v>
      </c>
      <c r="C7" s="493" t="s">
        <v>130</v>
      </c>
      <c r="D7"/>
      <c r="E7" s="691">
        <v>650000</v>
      </c>
      <c r="G7" s="524"/>
      <c r="H7" s="494" t="s">
        <v>0</v>
      </c>
      <c r="I7" s="495"/>
      <c r="J7" s="697">
        <v>660817</v>
      </c>
      <c r="K7" s="697">
        <v>70002</v>
      </c>
      <c r="L7" s="697">
        <v>90000</v>
      </c>
      <c r="M7" s="698" t="s">
        <v>214</v>
      </c>
      <c r="N7" s="697"/>
    </row>
    <row r="8" spans="2:14" s="489" customFormat="1" x14ac:dyDescent="0.25">
      <c r="B8" s="492" t="s">
        <v>132</v>
      </c>
      <c r="C8" s="493" t="s">
        <v>130</v>
      </c>
      <c r="D8"/>
      <c r="E8" s="691">
        <v>500000</v>
      </c>
      <c r="G8" s="494" t="s">
        <v>0</v>
      </c>
      <c r="H8" s="494"/>
      <c r="I8" s="495"/>
      <c r="J8" s="697">
        <v>660817</v>
      </c>
      <c r="K8" s="697">
        <v>70003</v>
      </c>
      <c r="L8" s="697">
        <v>90000</v>
      </c>
      <c r="M8" s="698" t="s">
        <v>213</v>
      </c>
      <c r="N8" s="697"/>
    </row>
    <row r="9" spans="2:14" s="489" customFormat="1" x14ac:dyDescent="0.25">
      <c r="B9" s="492" t="s">
        <v>133</v>
      </c>
      <c r="C9" s="493" t="s">
        <v>130</v>
      </c>
      <c r="D9"/>
      <c r="E9" s="691">
        <f>'Level A 2015-16'!P64</f>
        <v>59180651</v>
      </c>
      <c r="G9" s="494" t="s">
        <v>0</v>
      </c>
      <c r="H9" s="494"/>
      <c r="I9" s="495"/>
      <c r="J9" s="697">
        <v>603826</v>
      </c>
      <c r="K9" s="697">
        <v>70004</v>
      </c>
      <c r="L9" s="697">
        <v>90000</v>
      </c>
      <c r="M9" s="698" t="s">
        <v>212</v>
      </c>
      <c r="N9" s="697"/>
    </row>
    <row r="10" spans="2:14" s="489" customFormat="1" x14ac:dyDescent="0.25">
      <c r="B10" s="492" t="s">
        <v>134</v>
      </c>
      <c r="C10" s="493" t="s">
        <v>130</v>
      </c>
      <c r="D10"/>
      <c r="E10" s="685">
        <f>'Level A 2015-16'!P65</f>
        <v>4174581</v>
      </c>
      <c r="G10" s="494" t="s">
        <v>0</v>
      </c>
      <c r="H10" s="494"/>
      <c r="I10" s="495"/>
      <c r="J10" s="697">
        <v>660845</v>
      </c>
      <c r="K10" s="697">
        <v>70005</v>
      </c>
      <c r="L10" s="697">
        <v>90000</v>
      </c>
      <c r="M10" s="698" t="s">
        <v>215</v>
      </c>
      <c r="N10" s="697"/>
    </row>
    <row r="11" spans="2:14" s="489" customFormat="1" x14ac:dyDescent="0.25">
      <c r="B11" s="492" t="s">
        <v>135</v>
      </c>
      <c r="C11" s="493" t="s">
        <v>130</v>
      </c>
      <c r="D11"/>
      <c r="E11" s="685" t="s">
        <v>0</v>
      </c>
      <c r="G11" s="494" t="s">
        <v>0</v>
      </c>
      <c r="H11" s="494" t="s">
        <v>182</v>
      </c>
      <c r="I11" s="599" t="s">
        <v>0</v>
      </c>
      <c r="J11" s="697"/>
      <c r="K11" s="697"/>
      <c r="L11" s="697"/>
      <c r="M11" s="697"/>
      <c r="N11" s="697"/>
    </row>
    <row r="12" spans="2:14" s="489" customFormat="1" x14ac:dyDescent="0.25">
      <c r="B12" s="492" t="s">
        <v>136</v>
      </c>
      <c r="C12" s="493" t="s">
        <v>130</v>
      </c>
      <c r="D12"/>
      <c r="E12" s="685">
        <v>0</v>
      </c>
      <c r="G12" s="494" t="s">
        <v>0</v>
      </c>
      <c r="H12" s="494" t="s">
        <v>0</v>
      </c>
      <c r="I12" s="495"/>
      <c r="J12" s="697"/>
      <c r="K12" s="697"/>
      <c r="L12" s="697"/>
      <c r="M12" s="697"/>
      <c r="N12" s="697"/>
    </row>
    <row r="13" spans="2:14" s="489" customFormat="1" x14ac:dyDescent="0.25">
      <c r="B13" s="492" t="s">
        <v>137</v>
      </c>
      <c r="C13" s="493" t="s">
        <v>130</v>
      </c>
      <c r="D13"/>
      <c r="E13" s="685">
        <v>-86800</v>
      </c>
      <c r="G13" s="494" t="s">
        <v>0</v>
      </c>
      <c r="H13" s="494"/>
      <c r="I13" s="495"/>
      <c r="J13" s="697">
        <v>660888</v>
      </c>
      <c r="K13" s="697">
        <v>70009</v>
      </c>
      <c r="L13" s="697">
        <v>90000</v>
      </c>
      <c r="M13" s="698" t="s">
        <v>212</v>
      </c>
      <c r="N13" s="697"/>
    </row>
    <row r="14" spans="2:14" s="489" customFormat="1" x14ac:dyDescent="0.25">
      <c r="B14" s="687" t="s">
        <v>153</v>
      </c>
      <c r="C14" s="688" t="s">
        <v>130</v>
      </c>
      <c r="D14" s="58"/>
      <c r="E14" s="692">
        <f>'Level A 2015-16'!P61</f>
        <v>925000</v>
      </c>
      <c r="G14" s="524"/>
      <c r="H14" s="494"/>
      <c r="I14" s="495"/>
      <c r="J14" s="697">
        <v>660816</v>
      </c>
      <c r="K14" s="697">
        <v>70011</v>
      </c>
      <c r="L14" s="697">
        <v>90000</v>
      </c>
      <c r="M14" s="698" t="s">
        <v>212</v>
      </c>
      <c r="N14" s="697"/>
    </row>
    <row r="15" spans="2:14" s="489" customFormat="1" x14ac:dyDescent="0.25">
      <c r="B15" s="687"/>
      <c r="C15" s="688"/>
      <c r="D15"/>
      <c r="E15" s="685"/>
      <c r="G15" s="524"/>
      <c r="H15" s="494"/>
      <c r="I15" s="495"/>
      <c r="J15" s="697"/>
      <c r="K15" s="697"/>
      <c r="L15" s="697"/>
      <c r="M15" s="697"/>
      <c r="N15" s="697"/>
    </row>
    <row r="16" spans="2:14" s="489" customFormat="1" x14ac:dyDescent="0.25">
      <c r="B16" s="687" t="s">
        <v>138</v>
      </c>
      <c r="C16" s="688" t="s">
        <v>130</v>
      </c>
      <c r="D16"/>
      <c r="E16" s="685">
        <f>'Level A 2015-16'!P71</f>
        <v>2488138</v>
      </c>
      <c r="G16" s="494" t="s">
        <v>0</v>
      </c>
      <c r="H16" s="494"/>
      <c r="I16" s="495"/>
      <c r="J16" s="697">
        <v>601850</v>
      </c>
      <c r="K16" s="697">
        <v>70014</v>
      </c>
      <c r="L16" s="697">
        <v>90000</v>
      </c>
      <c r="M16" s="698" t="s">
        <v>212</v>
      </c>
      <c r="N16" s="697"/>
    </row>
    <row r="17" spans="1:18" s="489" customFormat="1" x14ac:dyDescent="0.25">
      <c r="B17" s="687"/>
      <c r="C17" s="688"/>
      <c r="D17"/>
      <c r="E17" s="685"/>
      <c r="G17" s="494"/>
      <c r="H17" s="494"/>
      <c r="I17" s="495"/>
      <c r="J17" s="697"/>
      <c r="K17" s="697"/>
      <c r="L17" s="697"/>
      <c r="M17" s="697"/>
      <c r="N17" s="697"/>
    </row>
    <row r="18" spans="1:18" s="489" customFormat="1" x14ac:dyDescent="0.25">
      <c r="B18" s="687" t="s">
        <v>139</v>
      </c>
      <c r="C18" s="688" t="s">
        <v>130</v>
      </c>
      <c r="D18"/>
      <c r="E18" s="685">
        <v>320000</v>
      </c>
      <c r="G18" s="494" t="s">
        <v>0</v>
      </c>
      <c r="H18" s="494"/>
      <c r="I18" s="495"/>
      <c r="J18" s="697">
        <v>660816</v>
      </c>
      <c r="K18" s="697">
        <v>70015</v>
      </c>
      <c r="L18" s="697">
        <v>90000</v>
      </c>
      <c r="M18" s="697" t="s">
        <v>217</v>
      </c>
      <c r="N18" s="697"/>
      <c r="P18" s="489" t="s">
        <v>0</v>
      </c>
      <c r="Q18" s="489" t="s">
        <v>0</v>
      </c>
      <c r="R18" s="489" t="s">
        <v>0</v>
      </c>
    </row>
    <row r="19" spans="1:18" s="489" customFormat="1" x14ac:dyDescent="0.25">
      <c r="B19" s="687"/>
      <c r="C19" s="688"/>
      <c r="D19"/>
      <c r="E19" s="685">
        <v>650000</v>
      </c>
      <c r="G19" s="494"/>
      <c r="H19" s="494"/>
      <c r="I19" s="495"/>
      <c r="J19" s="697">
        <v>660816</v>
      </c>
      <c r="K19" s="697">
        <v>70015</v>
      </c>
      <c r="L19" s="697">
        <v>90000</v>
      </c>
      <c r="M19" s="697" t="s">
        <v>216</v>
      </c>
      <c r="N19" s="697"/>
    </row>
    <row r="20" spans="1:18" s="489" customFormat="1" ht="17.25" customHeight="1" x14ac:dyDescent="0.2">
      <c r="B20" s="689" t="s">
        <v>140</v>
      </c>
      <c r="C20" s="690" t="s">
        <v>130</v>
      </c>
      <c r="D20" s="686"/>
      <c r="E20" s="691">
        <f>'Level A 2015-16'!P62</f>
        <v>48887</v>
      </c>
      <c r="G20" s="494" t="s">
        <v>0</v>
      </c>
      <c r="H20" s="494"/>
      <c r="I20" s="496" t="s">
        <v>0</v>
      </c>
      <c r="J20" s="697">
        <v>660817</v>
      </c>
      <c r="K20" s="697">
        <v>70050</v>
      </c>
      <c r="L20" s="697">
        <v>90000</v>
      </c>
      <c r="M20" s="698" t="s">
        <v>212</v>
      </c>
      <c r="N20" s="697"/>
      <c r="P20" s="489" t="s">
        <v>0</v>
      </c>
      <c r="Q20" s="489" t="s">
        <v>0</v>
      </c>
      <c r="R20" s="489" t="s">
        <v>0</v>
      </c>
    </row>
    <row r="21" spans="1:18" s="489" customFormat="1" ht="15.75" thickBot="1" x14ac:dyDescent="0.3">
      <c r="B21" s="702" t="s">
        <v>141</v>
      </c>
      <c r="C21" s="703" t="s">
        <v>130</v>
      </c>
      <c r="D21"/>
      <c r="E21" s="704">
        <v>0</v>
      </c>
      <c r="F21" s="521"/>
      <c r="G21" s="497" t="s">
        <v>0</v>
      </c>
      <c r="H21" s="497"/>
      <c r="I21" s="498"/>
      <c r="J21" s="697"/>
      <c r="K21" s="697"/>
      <c r="L21" s="697"/>
      <c r="M21" s="697"/>
      <c r="N21" s="697"/>
    </row>
    <row r="22" spans="1:18" s="489" customFormat="1" x14ac:dyDescent="0.25">
      <c r="B22" s="711" t="s">
        <v>0</v>
      </c>
      <c r="C22" s="706" t="s">
        <v>218</v>
      </c>
      <c r="D22" s="705"/>
      <c r="E22" s="704">
        <v>4875715</v>
      </c>
      <c r="F22" s="714"/>
      <c r="G22" s="522"/>
      <c r="H22" s="522"/>
      <c r="I22" s="715"/>
      <c r="J22" s="716">
        <v>605801</v>
      </c>
      <c r="K22" s="697">
        <v>70422</v>
      </c>
      <c r="L22" s="697">
        <v>90000</v>
      </c>
      <c r="M22" s="698" t="s">
        <v>212</v>
      </c>
      <c r="N22" s="697"/>
    </row>
    <row r="23" spans="1:18" s="489" customFormat="1" x14ac:dyDescent="0.25">
      <c r="B23" s="708" t="s">
        <v>0</v>
      </c>
      <c r="C23" s="706" t="s">
        <v>219</v>
      </c>
      <c r="D23" s="712"/>
      <c r="E23" s="701">
        <v>400038</v>
      </c>
      <c r="F23" s="521"/>
      <c r="G23" s="522"/>
      <c r="H23" s="522"/>
      <c r="I23" s="523"/>
      <c r="J23" s="697">
        <v>605802</v>
      </c>
      <c r="K23" s="697">
        <v>70422</v>
      </c>
      <c r="L23" s="697">
        <v>90000</v>
      </c>
      <c r="M23" s="698" t="s">
        <v>212</v>
      </c>
      <c r="N23" s="697"/>
    </row>
    <row r="24" spans="1:18" s="489" customFormat="1" x14ac:dyDescent="0.25">
      <c r="B24" s="708" t="s">
        <v>0</v>
      </c>
      <c r="C24" s="706" t="s">
        <v>220</v>
      </c>
      <c r="D24" s="712"/>
      <c r="E24" s="701">
        <v>1112123</v>
      </c>
      <c r="F24" s="521"/>
      <c r="G24" s="522"/>
      <c r="H24" s="522"/>
      <c r="I24" s="523"/>
      <c r="J24" s="697">
        <v>605803</v>
      </c>
      <c r="K24" s="697">
        <v>70422</v>
      </c>
      <c r="L24" s="697">
        <v>90000</v>
      </c>
      <c r="M24" s="698" t="s">
        <v>212</v>
      </c>
      <c r="N24" s="697"/>
    </row>
    <row r="25" spans="1:18" s="489" customFormat="1" x14ac:dyDescent="0.25">
      <c r="B25" s="708" t="s">
        <v>0</v>
      </c>
      <c r="C25" s="706" t="s">
        <v>221</v>
      </c>
      <c r="D25" s="712"/>
      <c r="E25" s="701">
        <v>11792</v>
      </c>
      <c r="F25" s="521"/>
      <c r="G25" s="522"/>
      <c r="H25" s="522"/>
      <c r="I25" s="523"/>
      <c r="J25" s="697">
        <v>605804</v>
      </c>
      <c r="K25" s="697">
        <v>70422</v>
      </c>
      <c r="L25" s="697">
        <v>90000</v>
      </c>
      <c r="M25" s="698" t="s">
        <v>212</v>
      </c>
      <c r="N25" s="697"/>
    </row>
    <row r="26" spans="1:18" s="489" customFormat="1" x14ac:dyDescent="0.25">
      <c r="B26" s="708" t="s">
        <v>0</v>
      </c>
      <c r="C26" s="713" t="s">
        <v>222</v>
      </c>
      <c r="D26"/>
      <c r="E26" s="701">
        <v>405934</v>
      </c>
      <c r="F26" s="521"/>
      <c r="G26" s="522"/>
      <c r="H26" s="522"/>
      <c r="I26" s="523"/>
      <c r="J26" s="697">
        <v>605805</v>
      </c>
      <c r="K26" s="697">
        <v>70422</v>
      </c>
      <c r="L26" s="697">
        <v>90000</v>
      </c>
      <c r="M26" s="698" t="s">
        <v>212</v>
      </c>
      <c r="N26" s="697"/>
    </row>
    <row r="27" spans="1:18" s="489" customFormat="1" x14ac:dyDescent="0.25">
      <c r="B27" s="708" t="s">
        <v>0</v>
      </c>
      <c r="C27" s="713" t="s">
        <v>223</v>
      </c>
      <c r="D27"/>
      <c r="E27" s="701">
        <v>22678</v>
      </c>
      <c r="F27" s="521"/>
      <c r="G27" s="522"/>
      <c r="H27" s="522"/>
      <c r="I27" s="523"/>
      <c r="J27" s="697">
        <v>605812</v>
      </c>
      <c r="K27" s="697">
        <v>70422</v>
      </c>
      <c r="L27" s="697">
        <v>90000</v>
      </c>
      <c r="M27" s="698" t="s">
        <v>212</v>
      </c>
      <c r="N27" s="697"/>
    </row>
    <row r="28" spans="1:18" s="489" customFormat="1" x14ac:dyDescent="0.25">
      <c r="A28" s="710"/>
      <c r="B28" s="709" t="s">
        <v>0</v>
      </c>
      <c r="C28" s="713" t="s">
        <v>224</v>
      </c>
      <c r="D28"/>
      <c r="E28" s="701">
        <v>96154</v>
      </c>
      <c r="F28" s="521"/>
      <c r="G28" s="522"/>
      <c r="H28" s="522"/>
      <c r="I28" s="523"/>
      <c r="J28" s="697">
        <v>608513</v>
      </c>
      <c r="K28" s="697">
        <v>70422</v>
      </c>
      <c r="L28" s="697">
        <v>90000</v>
      </c>
      <c r="M28" s="698" t="s">
        <v>212</v>
      </c>
      <c r="N28" s="697"/>
    </row>
    <row r="29" spans="1:18" s="489" customFormat="1" x14ac:dyDescent="0.25">
      <c r="A29" s="710"/>
      <c r="B29" s="709" t="s">
        <v>0</v>
      </c>
      <c r="C29" s="706" t="s">
        <v>225</v>
      </c>
      <c r="D29" s="712"/>
      <c r="E29" s="701">
        <v>72569</v>
      </c>
      <c r="F29" s="521"/>
      <c r="G29" s="522"/>
      <c r="H29" s="522"/>
      <c r="I29" s="523"/>
      <c r="J29" s="697">
        <v>605816</v>
      </c>
      <c r="K29" s="697">
        <v>70422</v>
      </c>
      <c r="L29" s="697">
        <v>90000</v>
      </c>
      <c r="M29" s="698" t="s">
        <v>212</v>
      </c>
      <c r="N29" s="697"/>
    </row>
    <row r="30" spans="1:18" s="489" customFormat="1" ht="15.75" thickBot="1" x14ac:dyDescent="0.3">
      <c r="B30" s="708" t="s">
        <v>0</v>
      </c>
      <c r="C30" s="706" t="s">
        <v>226</v>
      </c>
      <c r="D30" s="712"/>
      <c r="E30" s="717">
        <v>327468</v>
      </c>
      <c r="F30" s="521"/>
      <c r="G30" s="522"/>
      <c r="H30" s="522"/>
      <c r="I30" s="523"/>
      <c r="J30" s="697">
        <v>605822</v>
      </c>
      <c r="K30" s="697">
        <v>70422</v>
      </c>
      <c r="L30" s="697">
        <v>90000</v>
      </c>
      <c r="M30" s="698" t="s">
        <v>212</v>
      </c>
      <c r="N30" s="697"/>
    </row>
    <row r="31" spans="1:18" s="489" customFormat="1" ht="15.75" thickTop="1" x14ac:dyDescent="0.25">
      <c r="B31" s="707"/>
      <c r="C31" s="519"/>
      <c r="D31"/>
      <c r="E31" s="701"/>
      <c r="F31" s="521"/>
      <c r="G31" s="522"/>
      <c r="H31" s="522"/>
      <c r="I31" s="523"/>
      <c r="J31" s="697"/>
      <c r="K31" s="697"/>
      <c r="L31" s="697"/>
      <c r="M31" s="697"/>
      <c r="N31" s="697"/>
    </row>
    <row r="32" spans="1:18" s="489" customFormat="1" x14ac:dyDescent="0.25">
      <c r="B32" s="518"/>
      <c r="C32" s="519" t="s">
        <v>227</v>
      </c>
      <c r="D32"/>
      <c r="E32" s="520">
        <f>SUM(E6:E31)</f>
        <v>78471928</v>
      </c>
      <c r="F32" s="521"/>
      <c r="G32" s="522">
        <f>SUM(G6:G21)</f>
        <v>0</v>
      </c>
      <c r="H32" s="522"/>
      <c r="I32" s="523"/>
      <c r="J32" s="697"/>
      <c r="K32" s="697"/>
      <c r="L32" s="697"/>
      <c r="M32" s="697"/>
      <c r="N32" s="697"/>
    </row>
    <row r="33" spans="2:14" s="489" customFormat="1" x14ac:dyDescent="0.25">
      <c r="B33" s="518"/>
      <c r="C33" s="519"/>
      <c r="D33"/>
      <c r="E33" s="520"/>
      <c r="F33" s="521"/>
      <c r="G33" s="522"/>
      <c r="H33" s="522"/>
      <c r="I33" s="523"/>
      <c r="J33" s="697"/>
      <c r="K33" s="697"/>
      <c r="L33" s="697"/>
      <c r="M33" s="697"/>
      <c r="N33" s="697"/>
    </row>
    <row r="34" spans="2:14" s="499" customFormat="1" x14ac:dyDescent="0.25">
      <c r="B34" s="500" t="s">
        <v>142</v>
      </c>
      <c r="C34" s="501" t="s">
        <v>143</v>
      </c>
      <c r="D34"/>
      <c r="E34" s="502" t="s">
        <v>0</v>
      </c>
      <c r="G34" s="503"/>
      <c r="H34" s="504"/>
      <c r="I34" s="505"/>
      <c r="J34" s="699"/>
      <c r="K34" s="699"/>
      <c r="L34" s="699"/>
      <c r="M34" s="699"/>
      <c r="N34" s="699"/>
    </row>
    <row r="35" spans="2:14" s="499" customFormat="1" x14ac:dyDescent="0.25">
      <c r="B35" s="492" t="s">
        <v>144</v>
      </c>
      <c r="C35" s="493" t="s">
        <v>145</v>
      </c>
      <c r="D35"/>
      <c r="E35" s="506" t="s">
        <v>0</v>
      </c>
      <c r="G35" s="507" t="s">
        <v>0</v>
      </c>
      <c r="H35" s="508"/>
      <c r="I35" s="509"/>
      <c r="J35" s="699"/>
      <c r="K35" s="699"/>
      <c r="L35" s="699"/>
      <c r="M35" s="699"/>
      <c r="N35" s="699"/>
    </row>
    <row r="36" spans="2:14" s="499" customFormat="1" x14ac:dyDescent="0.25">
      <c r="B36" s="492" t="s">
        <v>146</v>
      </c>
      <c r="C36" s="493" t="s">
        <v>147</v>
      </c>
      <c r="D36"/>
      <c r="E36" s="510">
        <v>1508015</v>
      </c>
      <c r="F36" s="511"/>
      <c r="G36" s="508" t="s">
        <v>0</v>
      </c>
      <c r="H36" s="508"/>
      <c r="I36" s="509"/>
      <c r="J36" s="699">
        <v>609803</v>
      </c>
      <c r="K36" s="699">
        <v>70025</v>
      </c>
      <c r="L36" s="699">
        <v>90000</v>
      </c>
      <c r="M36" s="700" t="s">
        <v>212</v>
      </c>
      <c r="N36" s="699"/>
    </row>
    <row r="37" spans="2:14" s="499" customFormat="1" ht="22.5" x14ac:dyDescent="0.25">
      <c r="B37" s="492" t="s">
        <v>146</v>
      </c>
      <c r="C37" s="493" t="s">
        <v>148</v>
      </c>
      <c r="D37"/>
      <c r="E37" s="510">
        <v>49550</v>
      </c>
      <c r="F37" s="511"/>
      <c r="G37" s="508"/>
      <c r="H37" s="508"/>
      <c r="I37" s="509"/>
      <c r="J37" s="699">
        <v>609823</v>
      </c>
      <c r="K37" s="699">
        <v>70025</v>
      </c>
      <c r="L37" s="699">
        <v>90000</v>
      </c>
      <c r="M37" s="700" t="s">
        <v>212</v>
      </c>
      <c r="N37" s="699"/>
    </row>
    <row r="38" spans="2:14" s="499" customFormat="1" x14ac:dyDescent="0.25">
      <c r="B38" s="492" t="s">
        <v>146</v>
      </c>
      <c r="C38" s="493" t="s">
        <v>149</v>
      </c>
      <c r="D38"/>
      <c r="E38" s="510">
        <v>2255</v>
      </c>
      <c r="F38" s="511"/>
      <c r="G38" s="508" t="s">
        <v>0</v>
      </c>
      <c r="H38" s="508"/>
      <c r="I38" s="509"/>
      <c r="J38" s="699">
        <v>660877</v>
      </c>
      <c r="K38" s="699">
        <v>70025</v>
      </c>
      <c r="L38" s="699">
        <v>90000</v>
      </c>
      <c r="M38" s="700" t="s">
        <v>212</v>
      </c>
      <c r="N38" s="699"/>
    </row>
    <row r="39" spans="2:14" s="499" customFormat="1" x14ac:dyDescent="0.25">
      <c r="B39" s="492" t="s">
        <v>146</v>
      </c>
      <c r="C39" s="493" t="s">
        <v>150</v>
      </c>
      <c r="D39"/>
      <c r="E39" s="512">
        <f>'Level A 2015-16'!P66</f>
        <v>37793200</v>
      </c>
      <c r="F39" s="511"/>
      <c r="G39" s="513" t="s">
        <v>0</v>
      </c>
      <c r="H39" s="513"/>
      <c r="I39" s="514"/>
      <c r="J39" s="699">
        <v>609813</v>
      </c>
      <c r="K39" s="699">
        <v>70025</v>
      </c>
      <c r="L39" s="699">
        <v>90000</v>
      </c>
      <c r="M39" s="700" t="s">
        <v>212</v>
      </c>
      <c r="N39" s="699"/>
    </row>
    <row r="40" spans="2:14" s="515" customFormat="1" ht="15.75" thickBot="1" x14ac:dyDescent="0.3">
      <c r="B40" s="731" t="s">
        <v>151</v>
      </c>
      <c r="C40" s="732"/>
      <c r="D40"/>
      <c r="E40" s="516">
        <f>SUM(E32:E39)</f>
        <v>117824948</v>
      </c>
      <c r="G40" s="516" t="s">
        <v>0</v>
      </c>
      <c r="H40" s="516" t="s">
        <v>0</v>
      </c>
      <c r="I40" s="693"/>
      <c r="J40" s="697"/>
      <c r="K40" s="697"/>
      <c r="L40" s="697"/>
      <c r="M40" s="697"/>
      <c r="N40" s="697"/>
    </row>
    <row r="41" spans="2:14" ht="15.75" thickTop="1" x14ac:dyDescent="0.25">
      <c r="I41" s="517"/>
    </row>
  </sheetData>
  <mergeCells count="2">
    <mergeCell ref="G4:I4"/>
    <mergeCell ref="B40:C40"/>
  </mergeCells>
  <pageMargins left="0.2" right="0.2" top="0.25" bottom="0.25" header="0" footer="0"/>
  <pageSetup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opLeftCell="A28" zoomScaleNormal="100" workbookViewId="0">
      <selection activeCell="K40" sqref="K40"/>
    </sheetView>
  </sheetViews>
  <sheetFormatPr defaultRowHeight="15" outlineLevelRow="1" x14ac:dyDescent="0.25"/>
  <cols>
    <col min="1" max="1" width="32.28515625" bestFit="1" customWidth="1"/>
    <col min="2" max="3" width="10.140625" hidden="1" customWidth="1"/>
    <col min="4" max="5" width="10.140625" bestFit="1" customWidth="1"/>
    <col min="6" max="7" width="10.140625" customWidth="1"/>
    <col min="8" max="8" width="11.7109375" bestFit="1" customWidth="1"/>
    <col min="9" max="9" width="10.5703125" bestFit="1" customWidth="1"/>
    <col min="10" max="10" width="14.42578125" bestFit="1" customWidth="1"/>
    <col min="11" max="11" width="11.7109375" bestFit="1" customWidth="1"/>
  </cols>
  <sheetData>
    <row r="1" spans="1:9" x14ac:dyDescent="0.25">
      <c r="A1" s="394" t="s">
        <v>1</v>
      </c>
      <c r="B1" s="395"/>
      <c r="C1" s="395"/>
      <c r="D1" s="395"/>
      <c r="E1" s="395"/>
      <c r="F1" s="395"/>
      <c r="G1" s="395"/>
      <c r="H1" s="395"/>
      <c r="I1" s="395"/>
    </row>
    <row r="2" spans="1:9" x14ac:dyDescent="0.25">
      <c r="A2" s="394" t="s">
        <v>76</v>
      </c>
      <c r="B2" s="395"/>
      <c r="C2" s="395"/>
      <c r="D2" s="395"/>
      <c r="E2" s="395"/>
      <c r="F2" s="395"/>
      <c r="G2" s="395"/>
      <c r="H2" s="395"/>
      <c r="I2" s="395"/>
    </row>
    <row r="3" spans="1:9" ht="15.75" thickBot="1" x14ac:dyDescent="0.3">
      <c r="A3" s="395"/>
      <c r="B3" s="395"/>
      <c r="C3" s="395"/>
      <c r="D3" s="395"/>
      <c r="E3" s="395"/>
      <c r="F3" s="395"/>
      <c r="G3" s="395"/>
      <c r="H3" s="395"/>
      <c r="I3" s="395"/>
    </row>
    <row r="4" spans="1:9" ht="15.75" thickBot="1" x14ac:dyDescent="0.3">
      <c r="A4" s="396" t="s">
        <v>77</v>
      </c>
      <c r="B4" s="397">
        <v>2008.09</v>
      </c>
      <c r="C4" s="397">
        <v>2009.1</v>
      </c>
      <c r="D4" s="397">
        <v>2010.11</v>
      </c>
      <c r="E4" s="397">
        <v>2011.12</v>
      </c>
      <c r="F4" s="397">
        <v>2012.13</v>
      </c>
      <c r="G4" s="397">
        <v>2013.14</v>
      </c>
      <c r="H4" s="398" t="s">
        <v>25</v>
      </c>
      <c r="I4" s="399" t="s">
        <v>78</v>
      </c>
    </row>
    <row r="5" spans="1:9" x14ac:dyDescent="0.25">
      <c r="A5" s="395"/>
      <c r="B5" s="400"/>
      <c r="C5" s="400"/>
      <c r="D5" s="400"/>
      <c r="E5" s="395"/>
      <c r="F5" s="395"/>
      <c r="G5" s="395"/>
      <c r="H5" s="401"/>
      <c r="I5" s="395"/>
    </row>
    <row r="6" spans="1:9" x14ac:dyDescent="0.25">
      <c r="A6" s="394" t="s">
        <v>79</v>
      </c>
      <c r="B6" s="400"/>
      <c r="C6" s="400"/>
      <c r="D6" s="400"/>
      <c r="E6" s="395"/>
      <c r="F6" s="395"/>
      <c r="G6" s="418" t="s">
        <v>0</v>
      </c>
      <c r="H6" s="401"/>
      <c r="I6" s="395"/>
    </row>
    <row r="7" spans="1:9" x14ac:dyDescent="0.25">
      <c r="A7" s="402" t="s">
        <v>80</v>
      </c>
      <c r="B7" s="403">
        <v>5046.5600000000004</v>
      </c>
      <c r="C7" s="403">
        <v>0</v>
      </c>
      <c r="D7" s="403">
        <v>0</v>
      </c>
      <c r="E7" s="403">
        <v>0</v>
      </c>
      <c r="F7" s="403"/>
      <c r="G7" s="403">
        <v>2230</v>
      </c>
      <c r="H7" s="403">
        <f>SUM(G7)</f>
        <v>2230</v>
      </c>
      <c r="I7" s="404">
        <f>H7/H61</f>
        <v>9.069706166248381E-4</v>
      </c>
    </row>
    <row r="8" spans="1:9" x14ac:dyDescent="0.25">
      <c r="A8" s="395"/>
      <c r="B8" s="405"/>
      <c r="C8" s="406"/>
      <c r="D8" s="406"/>
      <c r="E8" s="405"/>
      <c r="F8" s="405"/>
      <c r="G8" s="405"/>
      <c r="H8" s="405"/>
      <c r="I8" s="395"/>
    </row>
    <row r="9" spans="1:9" x14ac:dyDescent="0.25">
      <c r="A9" s="394" t="s">
        <v>81</v>
      </c>
      <c r="B9" s="405"/>
      <c r="C9" s="405"/>
      <c r="D9" s="405"/>
      <c r="E9" s="405"/>
      <c r="F9" s="405"/>
      <c r="G9" s="405"/>
      <c r="H9" s="405"/>
      <c r="I9" s="395"/>
    </row>
    <row r="10" spans="1:9" x14ac:dyDescent="0.25">
      <c r="A10" s="395" t="s">
        <v>82</v>
      </c>
      <c r="B10" s="405">
        <v>3390.89</v>
      </c>
      <c r="C10" s="405">
        <v>1124.68</v>
      </c>
      <c r="D10" s="405">
        <v>8614.23</v>
      </c>
      <c r="E10" s="405">
        <v>1768.38</v>
      </c>
      <c r="F10" s="405">
        <v>2098</v>
      </c>
      <c r="G10" s="405">
        <v>2660</v>
      </c>
      <c r="H10" s="405">
        <f t="shared" ref="H10:H25" si="0">SUM(D10:G10)</f>
        <v>15140.61</v>
      </c>
      <c r="I10" s="395"/>
    </row>
    <row r="11" spans="1:9" x14ac:dyDescent="0.25">
      <c r="A11" s="395" t="s">
        <v>83</v>
      </c>
      <c r="B11" s="405">
        <v>1632</v>
      </c>
      <c r="C11" s="405">
        <v>0</v>
      </c>
      <c r="D11" s="405">
        <v>0</v>
      </c>
      <c r="E11" s="405">
        <v>140.87</v>
      </c>
      <c r="F11" s="405">
        <v>114</v>
      </c>
      <c r="G11" s="405"/>
      <c r="H11" s="405">
        <f t="shared" si="0"/>
        <v>254.87</v>
      </c>
      <c r="I11" s="395"/>
    </row>
    <row r="12" spans="1:9" x14ac:dyDescent="0.25">
      <c r="A12" s="407" t="s">
        <v>84</v>
      </c>
      <c r="B12" s="405">
        <v>0</v>
      </c>
      <c r="C12" s="405">
        <v>0</v>
      </c>
      <c r="D12" s="405">
        <v>0</v>
      </c>
      <c r="E12" s="405">
        <v>741.27</v>
      </c>
      <c r="F12" s="405"/>
      <c r="G12" s="405"/>
      <c r="H12" s="405">
        <f t="shared" si="0"/>
        <v>741.27</v>
      </c>
      <c r="I12" s="395"/>
    </row>
    <row r="13" spans="1:9" x14ac:dyDescent="0.25">
      <c r="A13" s="395" t="s">
        <v>85</v>
      </c>
      <c r="B13" s="405">
        <v>104360.54</v>
      </c>
      <c r="C13" s="405">
        <v>66280.28</v>
      </c>
      <c r="D13" s="405">
        <v>90074.4</v>
      </c>
      <c r="E13" s="405">
        <v>61850.63</v>
      </c>
      <c r="F13" s="405">
        <v>54364</v>
      </c>
      <c r="G13" s="405">
        <v>32186</v>
      </c>
      <c r="H13" s="405">
        <f t="shared" si="0"/>
        <v>238475.03</v>
      </c>
      <c r="I13" s="395"/>
    </row>
    <row r="14" spans="1:9" x14ac:dyDescent="0.25">
      <c r="A14" s="395" t="s">
        <v>96</v>
      </c>
      <c r="B14" s="405">
        <v>12286.16</v>
      </c>
      <c r="C14" s="405">
        <v>-3420.82</v>
      </c>
      <c r="D14" s="405">
        <v>6646.71</v>
      </c>
      <c r="E14" s="405">
        <v>8095.86</v>
      </c>
      <c r="F14" s="405">
        <v>6693</v>
      </c>
      <c r="G14" s="405">
        <v>9494</v>
      </c>
      <c r="H14" s="405">
        <f t="shared" si="0"/>
        <v>30929.57</v>
      </c>
      <c r="I14" s="395"/>
    </row>
    <row r="15" spans="1:9" x14ac:dyDescent="0.25">
      <c r="A15" s="395" t="s">
        <v>86</v>
      </c>
      <c r="B15" s="405">
        <v>11125.73</v>
      </c>
      <c r="C15" s="405">
        <v>2436.21</v>
      </c>
      <c r="D15" s="405">
        <v>1017.12</v>
      </c>
      <c r="E15" s="405"/>
      <c r="F15" s="405">
        <v>1135</v>
      </c>
      <c r="G15" s="405">
        <v>5194</v>
      </c>
      <c r="H15" s="405">
        <f t="shared" si="0"/>
        <v>7346.12</v>
      </c>
      <c r="I15" s="395"/>
    </row>
    <row r="16" spans="1:9" x14ac:dyDescent="0.25">
      <c r="A16" s="395" t="s">
        <v>87</v>
      </c>
      <c r="B16" s="405">
        <v>78421.45</v>
      </c>
      <c r="C16" s="405">
        <v>74751.499999999985</v>
      </c>
      <c r="D16" s="405">
        <v>87007.16</v>
      </c>
      <c r="E16" s="405">
        <v>26018.59</v>
      </c>
      <c r="F16" s="405">
        <v>18676</v>
      </c>
      <c r="G16" s="405">
        <v>20315</v>
      </c>
      <c r="H16" s="405">
        <f t="shared" si="0"/>
        <v>152016.75</v>
      </c>
      <c r="I16" s="395"/>
    </row>
    <row r="17" spans="1:9" x14ac:dyDescent="0.25">
      <c r="A17" s="395" t="s">
        <v>88</v>
      </c>
      <c r="B17" s="405">
        <v>80555.429999999993</v>
      </c>
      <c r="C17" s="405">
        <v>31455.93</v>
      </c>
      <c r="D17" s="405">
        <v>34755.89</v>
      </c>
      <c r="E17" s="405">
        <v>15108.119999999999</v>
      </c>
      <c r="F17" s="405">
        <v>19502</v>
      </c>
      <c r="G17" s="405">
        <v>48501</v>
      </c>
      <c r="H17" s="405">
        <f t="shared" si="0"/>
        <v>117867.01</v>
      </c>
      <c r="I17" s="395"/>
    </row>
    <row r="18" spans="1:9" x14ac:dyDescent="0.25">
      <c r="A18" s="395" t="s">
        <v>89</v>
      </c>
      <c r="B18" s="405">
        <v>65332.81</v>
      </c>
      <c r="C18" s="405">
        <v>22360.690000000002</v>
      </c>
      <c r="D18" s="405">
        <v>35174.71</v>
      </c>
      <c r="E18" s="405">
        <v>8188.14</v>
      </c>
      <c r="F18" s="405">
        <v>20315</v>
      </c>
      <c r="G18" s="405">
        <v>4888</v>
      </c>
      <c r="H18" s="405">
        <f t="shared" si="0"/>
        <v>68565.850000000006</v>
      </c>
      <c r="I18" s="395"/>
    </row>
    <row r="19" spans="1:9" x14ac:dyDescent="0.25">
      <c r="A19" s="395" t="s">
        <v>90</v>
      </c>
      <c r="B19" s="405">
        <v>21775.13</v>
      </c>
      <c r="C19" s="405">
        <v>19720.79</v>
      </c>
      <c r="D19" s="405">
        <v>29472.95</v>
      </c>
      <c r="E19" s="405">
        <v>41420.54</v>
      </c>
      <c r="F19" s="405">
        <v>19074</v>
      </c>
      <c r="G19" s="405">
        <v>5494</v>
      </c>
      <c r="H19" s="405">
        <f t="shared" si="0"/>
        <v>95461.49</v>
      </c>
      <c r="I19" s="395"/>
    </row>
    <row r="20" spans="1:9" x14ac:dyDescent="0.25">
      <c r="A20" s="395" t="s">
        <v>91</v>
      </c>
      <c r="B20" s="405">
        <v>6.92</v>
      </c>
      <c r="C20" s="405">
        <v>699.37</v>
      </c>
      <c r="D20" s="405">
        <v>2688.81</v>
      </c>
      <c r="E20" s="405">
        <v>8364.89</v>
      </c>
      <c r="F20" s="405">
        <v>3962</v>
      </c>
      <c r="G20" s="405">
        <v>3101</v>
      </c>
      <c r="H20" s="405">
        <f t="shared" si="0"/>
        <v>18116.699999999997</v>
      </c>
      <c r="I20" s="395"/>
    </row>
    <row r="21" spans="1:9" x14ac:dyDescent="0.25">
      <c r="A21" s="395" t="s">
        <v>92</v>
      </c>
      <c r="B21" s="405">
        <v>125</v>
      </c>
      <c r="C21" s="405">
        <v>0</v>
      </c>
      <c r="D21" s="405">
        <v>0</v>
      </c>
      <c r="E21" s="405">
        <v>0</v>
      </c>
      <c r="F21" s="405"/>
      <c r="G21" s="405"/>
      <c r="H21" s="405">
        <f t="shared" si="0"/>
        <v>0</v>
      </c>
      <c r="I21" s="395"/>
    </row>
    <row r="22" spans="1:9" x14ac:dyDescent="0.25">
      <c r="A22" s="395" t="s">
        <v>93</v>
      </c>
      <c r="B22" s="405">
        <v>93.71</v>
      </c>
      <c r="C22" s="405">
        <v>0</v>
      </c>
      <c r="D22" s="405">
        <v>5054.45</v>
      </c>
      <c r="E22" s="405">
        <v>5932.9699999999993</v>
      </c>
      <c r="F22" s="405">
        <v>92</v>
      </c>
      <c r="G22" s="405">
        <v>342</v>
      </c>
      <c r="H22" s="405">
        <f t="shared" si="0"/>
        <v>11421.419999999998</v>
      </c>
      <c r="I22" s="395"/>
    </row>
    <row r="23" spans="1:9" x14ac:dyDescent="0.25">
      <c r="A23" s="395" t="s">
        <v>94</v>
      </c>
      <c r="B23" s="405">
        <v>216.88</v>
      </c>
      <c r="C23" s="405">
        <v>0</v>
      </c>
      <c r="D23" s="405">
        <v>0</v>
      </c>
      <c r="E23" s="405">
        <v>0</v>
      </c>
      <c r="F23" s="405"/>
      <c r="G23" s="405"/>
      <c r="H23" s="405">
        <f t="shared" si="0"/>
        <v>0</v>
      </c>
      <c r="I23" s="395"/>
    </row>
    <row r="24" spans="1:9" x14ac:dyDescent="0.25">
      <c r="A24" s="395" t="s">
        <v>95</v>
      </c>
      <c r="B24" s="405">
        <v>2775.02</v>
      </c>
      <c r="C24" s="405">
        <v>551.80999999999995</v>
      </c>
      <c r="D24" s="405">
        <v>0</v>
      </c>
      <c r="E24" s="405">
        <v>0</v>
      </c>
      <c r="F24" s="405">
        <v>2636</v>
      </c>
      <c r="G24" s="405">
        <v>1104</v>
      </c>
      <c r="H24" s="405">
        <f t="shared" si="0"/>
        <v>3740</v>
      </c>
      <c r="I24" s="395"/>
    </row>
    <row r="25" spans="1:9" x14ac:dyDescent="0.25">
      <c r="A25" s="395" t="s">
        <v>97</v>
      </c>
      <c r="B25" s="405">
        <v>677.87</v>
      </c>
      <c r="C25" s="405">
        <v>0</v>
      </c>
      <c r="D25" s="405">
        <v>0</v>
      </c>
      <c r="E25" s="405">
        <v>0</v>
      </c>
      <c r="F25" s="405"/>
      <c r="G25" s="405"/>
      <c r="H25" s="405">
        <f t="shared" si="0"/>
        <v>0</v>
      </c>
      <c r="I25" s="395"/>
    </row>
    <row r="26" spans="1:9" x14ac:dyDescent="0.25">
      <c r="A26" s="395"/>
      <c r="B26" s="405"/>
      <c r="C26" s="405"/>
      <c r="D26" s="405"/>
      <c r="E26" s="405"/>
      <c r="F26" s="405"/>
      <c r="G26" s="405"/>
      <c r="H26" s="405"/>
      <c r="I26" s="395"/>
    </row>
    <row r="27" spans="1:9" x14ac:dyDescent="0.25">
      <c r="A27" s="402" t="s">
        <v>98</v>
      </c>
      <c r="B27" s="403">
        <v>382775.54</v>
      </c>
      <c r="C27" s="403">
        <v>215960.43999999997</v>
      </c>
      <c r="D27" s="403">
        <f>SUM(D9:D26)</f>
        <v>300506.43000000005</v>
      </c>
      <c r="E27" s="403">
        <f>SUM(E9:E26)</f>
        <v>177630.25999999998</v>
      </c>
      <c r="F27" s="403">
        <f>SUM(F9:F26)</f>
        <v>148661</v>
      </c>
      <c r="G27" s="403">
        <f>SUM(G9:G26)</f>
        <v>133279</v>
      </c>
      <c r="H27" s="403">
        <f>SUM(D27:G27)</f>
        <v>760076.69000000006</v>
      </c>
      <c r="I27" s="404">
        <f>H27/H61</f>
        <v>0.30913328439976051</v>
      </c>
    </row>
    <row r="28" spans="1:9" x14ac:dyDescent="0.25">
      <c r="A28" s="395"/>
      <c r="B28" s="406"/>
      <c r="C28" s="406"/>
      <c r="D28" s="406"/>
      <c r="E28" s="405"/>
      <c r="F28" s="405"/>
      <c r="G28" s="405"/>
      <c r="H28" s="405"/>
      <c r="I28" s="395"/>
    </row>
    <row r="29" spans="1:9" x14ac:dyDescent="0.25">
      <c r="A29" s="394" t="s">
        <v>32</v>
      </c>
      <c r="B29" s="405"/>
      <c r="C29" s="405"/>
      <c r="D29" s="405"/>
      <c r="E29" s="405"/>
      <c r="F29" s="405"/>
      <c r="G29" s="405"/>
      <c r="H29" s="405"/>
      <c r="I29" s="395"/>
    </row>
    <row r="30" spans="1:9" x14ac:dyDescent="0.25">
      <c r="A30" s="407" t="s">
        <v>99</v>
      </c>
      <c r="B30" s="405"/>
      <c r="C30" s="405"/>
      <c r="D30" s="405"/>
      <c r="E30" s="405"/>
      <c r="F30" s="405">
        <v>378</v>
      </c>
      <c r="G30" s="405">
        <v>583</v>
      </c>
      <c r="H30" s="405">
        <f>SUM(F30:G30)</f>
        <v>961</v>
      </c>
      <c r="I30" s="395"/>
    </row>
    <row r="31" spans="1:9" x14ac:dyDescent="0.25">
      <c r="A31" s="395" t="s">
        <v>100</v>
      </c>
      <c r="B31" s="405">
        <v>11556.050000000001</v>
      </c>
      <c r="C31" s="405">
        <v>6823.34</v>
      </c>
      <c r="D31" s="405">
        <v>5350.28</v>
      </c>
      <c r="E31" s="405">
        <v>2736.1899999999996</v>
      </c>
      <c r="F31" s="405">
        <v>3125</v>
      </c>
      <c r="G31" s="405">
        <v>517</v>
      </c>
      <c r="H31" s="405">
        <f>SUM(D31:G31)</f>
        <v>11728.47</v>
      </c>
      <c r="I31" s="395"/>
    </row>
    <row r="32" spans="1:9" x14ac:dyDescent="0.25">
      <c r="A32" s="395" t="s">
        <v>101</v>
      </c>
      <c r="B32" s="405">
        <v>56238.87000000001</v>
      </c>
      <c r="C32" s="405">
        <v>39603.599999999999</v>
      </c>
      <c r="D32" s="405">
        <v>55065.73</v>
      </c>
      <c r="E32" s="405">
        <v>104195.07999999999</v>
      </c>
      <c r="F32" s="405">
        <v>56068</v>
      </c>
      <c r="G32" s="405">
        <v>151921</v>
      </c>
      <c r="H32" s="405">
        <f>SUM(D32:G32)</f>
        <v>367249.81</v>
      </c>
      <c r="I32" s="395"/>
    </row>
    <row r="33" spans="1:9" x14ac:dyDescent="0.25">
      <c r="A33" s="395" t="s">
        <v>102</v>
      </c>
      <c r="B33" s="405">
        <v>406.18</v>
      </c>
      <c r="C33" s="405">
        <v>58.76</v>
      </c>
      <c r="D33" s="405"/>
      <c r="E33" s="405"/>
      <c r="F33" s="405"/>
      <c r="G33" s="405"/>
      <c r="H33" s="405">
        <f>SUM(D33:G33)</f>
        <v>0</v>
      </c>
      <c r="I33" s="395"/>
    </row>
    <row r="34" spans="1:9" x14ac:dyDescent="0.25">
      <c r="A34" s="395" t="s">
        <v>103</v>
      </c>
      <c r="B34" s="405"/>
      <c r="C34" s="405">
        <v>816.15</v>
      </c>
      <c r="D34" s="405">
        <v>11105.630000000001</v>
      </c>
      <c r="E34" s="405">
        <v>3700.77</v>
      </c>
      <c r="F34" s="405">
        <v>761</v>
      </c>
      <c r="G34" s="405">
        <v>632</v>
      </c>
      <c r="H34" s="405">
        <f>SUM(D34:G34)</f>
        <v>16199.400000000001</v>
      </c>
      <c r="I34" s="395"/>
    </row>
    <row r="35" spans="1:9" x14ac:dyDescent="0.25">
      <c r="A35" s="395"/>
      <c r="B35" s="405"/>
      <c r="C35" s="405"/>
      <c r="D35" s="405"/>
      <c r="E35" s="405"/>
      <c r="F35" s="405"/>
      <c r="G35" s="405"/>
      <c r="H35" s="405"/>
      <c r="I35" s="395"/>
    </row>
    <row r="36" spans="1:9" x14ac:dyDescent="0.25">
      <c r="A36" s="402" t="s">
        <v>98</v>
      </c>
      <c r="B36" s="403">
        <v>68201.100000000006</v>
      </c>
      <c r="C36" s="403">
        <v>47301.850000000006</v>
      </c>
      <c r="D36" s="403">
        <f>SUM(D29:D35)</f>
        <v>71521.64</v>
      </c>
      <c r="E36" s="403">
        <f>SUM(E29:E34)</f>
        <v>110632.04</v>
      </c>
      <c r="F36" s="403">
        <f>SUM(F29:F34)</f>
        <v>60332</v>
      </c>
      <c r="G36" s="403">
        <f>SUM(G29:G34)</f>
        <v>153653</v>
      </c>
      <c r="H36" s="403">
        <f>SUM(H29:H34)</f>
        <v>396138.68</v>
      </c>
      <c r="I36" s="404">
        <f>H36/H61</f>
        <v>0.16111486227289212</v>
      </c>
    </row>
    <row r="37" spans="1:9" x14ac:dyDescent="0.25">
      <c r="A37" s="395"/>
      <c r="B37" s="406"/>
      <c r="C37" s="406"/>
      <c r="D37" s="406"/>
      <c r="E37" s="406"/>
      <c r="F37" s="406"/>
      <c r="G37" s="406"/>
      <c r="H37" s="405"/>
      <c r="I37" s="395"/>
    </row>
    <row r="38" spans="1:9" x14ac:dyDescent="0.25">
      <c r="A38" s="394" t="s">
        <v>20</v>
      </c>
      <c r="B38" s="406"/>
      <c r="C38" s="406"/>
      <c r="D38" s="406"/>
      <c r="E38" s="406"/>
      <c r="F38" s="406"/>
      <c r="G38" s="406"/>
      <c r="H38" s="405"/>
      <c r="I38" s="395"/>
    </row>
    <row r="39" spans="1:9" x14ac:dyDescent="0.25">
      <c r="A39" s="402" t="s">
        <v>104</v>
      </c>
      <c r="B39" s="403">
        <v>168061.26</v>
      </c>
      <c r="C39" s="403">
        <v>226032.84999999998</v>
      </c>
      <c r="D39" s="403">
        <v>189383.18</v>
      </c>
      <c r="E39" s="403">
        <v>253389.94</v>
      </c>
      <c r="F39" s="403">
        <v>263325</v>
      </c>
      <c r="G39" s="403">
        <v>256706</v>
      </c>
      <c r="H39" s="403">
        <f>SUM(D39:G39)</f>
        <v>962804.12</v>
      </c>
      <c r="I39" s="404">
        <f>H39/H61</f>
        <v>0.39158522260328904</v>
      </c>
    </row>
    <row r="40" spans="1:9" x14ac:dyDescent="0.25">
      <c r="A40" s="395"/>
      <c r="B40" s="406"/>
      <c r="C40" s="406"/>
      <c r="D40" s="406"/>
      <c r="E40" s="406"/>
      <c r="F40" s="406"/>
      <c r="G40" s="406"/>
      <c r="H40" s="405"/>
      <c r="I40" s="395"/>
    </row>
    <row r="41" spans="1:9" x14ac:dyDescent="0.25">
      <c r="A41" s="394" t="s">
        <v>23</v>
      </c>
      <c r="B41" s="406"/>
      <c r="C41" s="406"/>
      <c r="D41" s="406"/>
      <c r="E41" s="406"/>
      <c r="F41" s="406"/>
      <c r="G41" s="406"/>
      <c r="H41" s="405"/>
      <c r="I41" s="395"/>
    </row>
    <row r="42" spans="1:9" x14ac:dyDescent="0.25">
      <c r="A42" s="402" t="s">
        <v>105</v>
      </c>
      <c r="B42" s="403">
        <v>11024.42</v>
      </c>
      <c r="C42" s="403">
        <v>2717.63</v>
      </c>
      <c r="D42" s="403">
        <v>9797.16</v>
      </c>
      <c r="E42" s="403">
        <v>2526.9899999999998</v>
      </c>
      <c r="F42" s="403">
        <v>524</v>
      </c>
      <c r="G42" s="403">
        <v>4963</v>
      </c>
      <c r="H42" s="403">
        <f>SUM(D42:G42)</f>
        <v>17811.150000000001</v>
      </c>
      <c r="I42" s="404">
        <f>H42/H61</f>
        <v>7.2440312548419216E-3</v>
      </c>
    </row>
    <row r="43" spans="1:9" x14ac:dyDescent="0.25">
      <c r="A43" s="395"/>
      <c r="B43" s="406"/>
      <c r="C43" s="406"/>
      <c r="D43" s="406"/>
      <c r="E43" s="405"/>
      <c r="F43" s="405"/>
      <c r="G43" s="405"/>
      <c r="H43" s="405"/>
      <c r="I43" s="395"/>
    </row>
    <row r="44" spans="1:9" x14ac:dyDescent="0.25">
      <c r="A44" s="394" t="s">
        <v>106</v>
      </c>
      <c r="B44" s="405"/>
      <c r="C44" s="405"/>
      <c r="D44" s="405"/>
      <c r="E44" s="405"/>
      <c r="F44" s="405"/>
      <c r="G44" s="405"/>
      <c r="H44" s="405"/>
      <c r="I44" s="395"/>
    </row>
    <row r="45" spans="1:9" x14ac:dyDescent="0.25">
      <c r="A45" s="395" t="s">
        <v>107</v>
      </c>
      <c r="B45" s="405">
        <v>21763.98</v>
      </c>
      <c r="C45" s="405">
        <v>11727.31</v>
      </c>
      <c r="D45" s="405">
        <v>19296.37</v>
      </c>
      <c r="E45" s="405">
        <v>10960.029999999999</v>
      </c>
      <c r="F45" s="405">
        <v>15608</v>
      </c>
      <c r="G45" s="405">
        <v>18822</v>
      </c>
      <c r="H45" s="405">
        <f>SUM(D45:G45)</f>
        <v>64686.399999999994</v>
      </c>
      <c r="I45" s="395"/>
    </row>
    <row r="46" spans="1:9" x14ac:dyDescent="0.25">
      <c r="A46" s="395" t="s">
        <v>28</v>
      </c>
      <c r="B46" s="405">
        <v>215.59</v>
      </c>
      <c r="C46" s="405">
        <v>4693.1799999999985</v>
      </c>
      <c r="D46" s="405">
        <v>41418.140000000007</v>
      </c>
      <c r="E46" s="405">
        <v>35848.68</v>
      </c>
      <c r="F46" s="405">
        <v>34108</v>
      </c>
      <c r="G46" s="405">
        <v>9554</v>
      </c>
      <c r="H46" s="405">
        <f>SUM(D46:G46)</f>
        <v>120928.82</v>
      </c>
      <c r="I46" s="395"/>
    </row>
    <row r="47" spans="1:9" x14ac:dyDescent="0.25">
      <c r="A47" s="395" t="s">
        <v>108</v>
      </c>
      <c r="B47" s="405">
        <v>40025.009999999995</v>
      </c>
      <c r="C47" s="405">
        <v>36105.97</v>
      </c>
      <c r="D47" s="405">
        <v>27635.97</v>
      </c>
      <c r="E47" s="405">
        <v>8032.11</v>
      </c>
      <c r="F47" s="405">
        <v>19706</v>
      </c>
      <c r="G47" s="405">
        <v>18010</v>
      </c>
      <c r="H47" s="405">
        <f>SUM(D47:G47)</f>
        <v>73384.08</v>
      </c>
      <c r="I47" s="395"/>
    </row>
    <row r="48" spans="1:9" x14ac:dyDescent="0.25">
      <c r="A48" s="395" t="s">
        <v>109</v>
      </c>
      <c r="B48" s="405">
        <v>2489.11</v>
      </c>
      <c r="C48" s="405">
        <v>3800.98</v>
      </c>
      <c r="D48" s="405">
        <v>2515.88</v>
      </c>
      <c r="E48" s="405">
        <v>1766.07</v>
      </c>
      <c r="F48" s="405">
        <v>1802</v>
      </c>
      <c r="G48" s="405">
        <v>5939</v>
      </c>
      <c r="H48" s="405">
        <f>SUM(D48:G48)</f>
        <v>12022.95</v>
      </c>
      <c r="I48" s="395"/>
    </row>
    <row r="49" spans="1:11" hidden="1" outlineLevel="1" x14ac:dyDescent="0.25">
      <c r="A49" s="395"/>
      <c r="B49" s="405"/>
      <c r="C49" s="405"/>
      <c r="D49" s="405"/>
      <c r="E49" s="405"/>
      <c r="F49" s="405"/>
      <c r="G49" s="405"/>
      <c r="H49" s="405"/>
      <c r="I49" s="395"/>
    </row>
    <row r="50" spans="1:11" collapsed="1" x14ac:dyDescent="0.25">
      <c r="A50" s="402" t="s">
        <v>25</v>
      </c>
      <c r="B50" s="403">
        <v>64493.689999999995</v>
      </c>
      <c r="C50" s="403">
        <v>56327.44</v>
      </c>
      <c r="D50" s="403">
        <f>SUM(D44:D48)</f>
        <v>90866.360000000015</v>
      </c>
      <c r="E50" s="403">
        <f>SUM(E44:E48)</f>
        <v>56606.89</v>
      </c>
      <c r="F50" s="403">
        <f>SUM(F44:F48)</f>
        <v>71224</v>
      </c>
      <c r="G50" s="403">
        <f>SUM(G44:G48)</f>
        <v>52325</v>
      </c>
      <c r="H50" s="403">
        <f>SUM(H44:H48)</f>
        <v>271022.25</v>
      </c>
      <c r="I50" s="404">
        <f>H50/H61</f>
        <v>0.1102283485208749</v>
      </c>
    </row>
    <row r="51" spans="1:11" x14ac:dyDescent="0.25">
      <c r="A51" s="395"/>
      <c r="B51" s="406"/>
      <c r="C51" s="406"/>
      <c r="D51" s="406"/>
      <c r="E51" s="405"/>
      <c r="F51" s="405"/>
      <c r="G51" s="405"/>
      <c r="H51" s="405"/>
      <c r="I51" s="395"/>
    </row>
    <row r="52" spans="1:11" x14ac:dyDescent="0.25">
      <c r="A52" s="394" t="s">
        <v>110</v>
      </c>
      <c r="B52" s="405"/>
      <c r="C52" s="405"/>
      <c r="D52" s="405"/>
      <c r="E52" s="405"/>
      <c r="F52" s="405"/>
      <c r="G52" s="405"/>
      <c r="H52" s="405"/>
      <c r="I52" s="395"/>
    </row>
    <row r="53" spans="1:11" x14ac:dyDescent="0.25">
      <c r="A53" s="407" t="s">
        <v>114</v>
      </c>
      <c r="B53" s="405">
        <v>0</v>
      </c>
      <c r="C53" s="405">
        <v>0</v>
      </c>
      <c r="D53" s="405">
        <v>0</v>
      </c>
      <c r="E53" s="405">
        <v>0</v>
      </c>
      <c r="F53" s="405">
        <v>0</v>
      </c>
      <c r="G53" s="405">
        <v>1289</v>
      </c>
      <c r="H53" s="405">
        <f>SUM(D53:G53)</f>
        <v>1289</v>
      </c>
      <c r="I53" s="395"/>
    </row>
    <row r="54" spans="1:11" x14ac:dyDescent="0.25">
      <c r="A54" s="420" t="s">
        <v>113</v>
      </c>
      <c r="B54" s="422">
        <v>0</v>
      </c>
      <c r="C54" s="422">
        <v>0</v>
      </c>
      <c r="D54" s="422">
        <v>0</v>
      </c>
      <c r="E54" s="422">
        <v>0</v>
      </c>
      <c r="F54" s="422">
        <v>1220</v>
      </c>
      <c r="G54" s="422">
        <v>-4</v>
      </c>
      <c r="H54" s="405">
        <f>SUM(D54:G54)</f>
        <v>1216</v>
      </c>
      <c r="I54" s="424"/>
    </row>
    <row r="55" spans="1:11" x14ac:dyDescent="0.25">
      <c r="A55" s="419" t="s">
        <v>111</v>
      </c>
      <c r="B55" s="421">
        <v>10252.300000000001</v>
      </c>
      <c r="C55" s="421">
        <v>1270.21</v>
      </c>
      <c r="D55" s="421">
        <v>20692.190000000002</v>
      </c>
      <c r="E55" s="421">
        <v>12563.480000000001</v>
      </c>
      <c r="F55" s="421">
        <v>8290</v>
      </c>
      <c r="G55" s="421">
        <v>4601</v>
      </c>
      <c r="H55" s="405">
        <f>SUM(D55:G55)</f>
        <v>46146.670000000006</v>
      </c>
      <c r="I55" s="423" t="s">
        <v>0</v>
      </c>
    </row>
    <row r="56" spans="1:11" hidden="1" outlineLevel="1" x14ac:dyDescent="0.25">
      <c r="A56" s="407"/>
      <c r="B56" s="405"/>
      <c r="C56" s="405"/>
      <c r="D56" s="405"/>
      <c r="E56" s="405"/>
      <c r="F56" s="405"/>
      <c r="G56" s="405"/>
      <c r="H56" s="405"/>
      <c r="I56" s="395"/>
    </row>
    <row r="57" spans="1:11" hidden="1" outlineLevel="1" x14ac:dyDescent="0.25">
      <c r="A57" s="407"/>
      <c r="B57" s="405">
        <v>10252.300000000001</v>
      </c>
      <c r="C57" s="405">
        <v>1270.21</v>
      </c>
      <c r="D57" s="405">
        <v>20692.190000000002</v>
      </c>
      <c r="E57" s="405">
        <v>12563.480000000001</v>
      </c>
      <c r="F57" s="405"/>
      <c r="G57" s="405"/>
      <c r="H57" s="405">
        <v>44778.180000000008</v>
      </c>
      <c r="I57" s="408">
        <v>1.7521716238515315E-2</v>
      </c>
    </row>
    <row r="58" spans="1:11" collapsed="1" x14ac:dyDescent="0.25">
      <c r="A58" s="402" t="s">
        <v>25</v>
      </c>
      <c r="B58" s="403">
        <f>B54+B55</f>
        <v>10252.300000000001</v>
      </c>
      <c r="C58" s="403">
        <f>C54+C55</f>
        <v>1270.21</v>
      </c>
      <c r="D58" s="403">
        <f>D54+D55</f>
        <v>20692.190000000002</v>
      </c>
      <c r="E58" s="403">
        <f>E54+E55</f>
        <v>12563.480000000001</v>
      </c>
      <c r="F58" s="403">
        <f>F54+F55</f>
        <v>9510</v>
      </c>
      <c r="G58" s="403">
        <f>G53+G54+G55</f>
        <v>5886</v>
      </c>
      <c r="H58" s="403">
        <f>SUM(H53:H55)</f>
        <v>48651.670000000006</v>
      </c>
      <c r="I58" s="404">
        <f>H58/H61</f>
        <v>1.9787280331716655E-2</v>
      </c>
    </row>
    <row r="59" spans="1:11" outlineLevel="1" x14ac:dyDescent="0.25">
      <c r="A59" s="407"/>
      <c r="B59" s="405"/>
      <c r="C59" s="405"/>
      <c r="D59" s="405"/>
      <c r="E59" s="405"/>
      <c r="F59" s="405"/>
      <c r="G59" s="405"/>
      <c r="H59" s="405"/>
      <c r="I59" s="408"/>
    </row>
    <row r="60" spans="1:11" x14ac:dyDescent="0.25">
      <c r="A60" s="395"/>
      <c r="B60" s="405"/>
      <c r="C60" s="405"/>
      <c r="D60" s="405"/>
      <c r="E60" s="405"/>
      <c r="F60" s="405"/>
      <c r="G60" s="405"/>
      <c r="H60" s="405"/>
      <c r="I60" s="395"/>
    </row>
    <row r="61" spans="1:11" ht="15.75" thickBot="1" x14ac:dyDescent="0.3">
      <c r="A61" s="409" t="s">
        <v>98</v>
      </c>
      <c r="B61" s="410">
        <v>709854.87000000011</v>
      </c>
      <c r="C61" s="410">
        <v>549610.41999999993</v>
      </c>
      <c r="D61" s="410">
        <v>682766.96</v>
      </c>
      <c r="E61" s="410">
        <v>613349.6</v>
      </c>
      <c r="F61" s="410">
        <f>F58+F50+F42+F39+F36+F27+F7</f>
        <v>553576</v>
      </c>
      <c r="G61" s="410">
        <f>G58+G50+G42+G39+G36+G27+G7</f>
        <v>609042</v>
      </c>
      <c r="H61" s="410">
        <f>SUM(D61:G61)</f>
        <v>2458734.56</v>
      </c>
      <c r="I61" s="411">
        <f>I58+I50+I42+I39+I36+I27+I7</f>
        <v>0.99999999999999989</v>
      </c>
      <c r="J61" s="412" t="s">
        <v>0</v>
      </c>
      <c r="K61" s="412"/>
    </row>
    <row r="62" spans="1:11" ht="15.75" thickTop="1" x14ac:dyDescent="0.25">
      <c r="A62" s="395"/>
      <c r="B62" s="405"/>
      <c r="C62" s="405"/>
      <c r="D62" s="405"/>
      <c r="E62" s="405"/>
      <c r="F62" s="405"/>
      <c r="G62" s="405"/>
      <c r="H62" s="405"/>
      <c r="I62" s="395"/>
    </row>
    <row r="63" spans="1:11" hidden="1" outlineLevel="1" x14ac:dyDescent="0.25">
      <c r="A63" s="407" t="s">
        <v>112</v>
      </c>
      <c r="B63" s="406">
        <v>709855.13</v>
      </c>
      <c r="C63" s="406">
        <v>549610.42000000004</v>
      </c>
      <c r="D63" s="406">
        <v>682766.96</v>
      </c>
      <c r="E63" s="406">
        <v>613349.6</v>
      </c>
      <c r="F63" s="406"/>
      <c r="G63" s="406"/>
      <c r="H63" s="405">
        <v>2555582.11</v>
      </c>
      <c r="I63" s="395"/>
    </row>
    <row r="64" spans="1:11" collapsed="1" x14ac:dyDescent="0.25">
      <c r="A64" s="413"/>
      <c r="B64" s="406"/>
      <c r="C64" s="405"/>
      <c r="D64" s="405"/>
      <c r="E64" s="405"/>
      <c r="F64" s="405"/>
      <c r="G64" s="405"/>
      <c r="H64" s="414"/>
      <c r="I64" s="415"/>
    </row>
    <row r="65" spans="1:9" x14ac:dyDescent="0.25">
      <c r="A65" s="395"/>
      <c r="B65" s="395"/>
      <c r="C65" s="395"/>
      <c r="D65" s="395"/>
      <c r="E65" s="395"/>
      <c r="F65" s="395"/>
      <c r="G65" s="395"/>
      <c r="H65" s="416"/>
      <c r="I65" s="415"/>
    </row>
    <row r="66" spans="1:9" x14ac:dyDescent="0.25">
      <c r="A66" s="395"/>
      <c r="B66" s="395"/>
      <c r="C66" s="395"/>
      <c r="D66" s="395"/>
      <c r="E66" s="395"/>
      <c r="F66" s="395"/>
      <c r="G66" s="395"/>
      <c r="H66" s="417"/>
      <c r="I66" s="415"/>
    </row>
    <row r="67" spans="1:9" x14ac:dyDescent="0.25">
      <c r="A67" s="395"/>
      <c r="B67" s="395"/>
      <c r="C67" s="395"/>
      <c r="D67" s="395"/>
      <c r="E67" s="395"/>
      <c r="F67" s="395"/>
      <c r="G67" s="395"/>
      <c r="H67" s="417"/>
      <c r="I67" s="415"/>
    </row>
    <row r="68" spans="1:9" x14ac:dyDescent="0.25">
      <c r="A68" s="395"/>
      <c r="B68" s="395"/>
      <c r="C68" s="395"/>
      <c r="D68" s="395"/>
      <c r="E68" s="395"/>
      <c r="F68" s="395"/>
      <c r="G68" s="395"/>
      <c r="H68" s="417"/>
      <c r="I68" s="415"/>
    </row>
    <row r="69" spans="1:9" x14ac:dyDescent="0.25">
      <c r="H69" s="417"/>
      <c r="I69" s="415"/>
    </row>
    <row r="70" spans="1:9" x14ac:dyDescent="0.25">
      <c r="H70" s="417"/>
      <c r="I70" s="415"/>
    </row>
    <row r="71" spans="1:9" x14ac:dyDescent="0.25">
      <c r="H71" s="417"/>
      <c r="I71" s="415"/>
    </row>
    <row r="72" spans="1:9" x14ac:dyDescent="0.25">
      <c r="H72" s="417"/>
      <c r="I72" s="415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opLeftCell="A31" workbookViewId="0">
      <selection activeCell="H61" sqref="H61"/>
    </sheetView>
  </sheetViews>
  <sheetFormatPr defaultRowHeight="15" outlineLevelRow="1" x14ac:dyDescent="0.25"/>
  <cols>
    <col min="1" max="1" width="32.28515625" bestFit="1" customWidth="1"/>
    <col min="2" max="5" width="10.140625" bestFit="1" customWidth="1"/>
    <col min="6" max="7" width="10.140625" customWidth="1"/>
    <col min="8" max="8" width="11.7109375" bestFit="1" customWidth="1"/>
    <col min="9" max="9" width="10.5703125" bestFit="1" customWidth="1"/>
    <col min="10" max="10" width="14.42578125" bestFit="1" customWidth="1"/>
    <col min="11" max="11" width="11.7109375" bestFit="1" customWidth="1"/>
  </cols>
  <sheetData>
    <row r="1" spans="1:9" x14ac:dyDescent="0.25">
      <c r="A1" s="394" t="s">
        <v>1</v>
      </c>
      <c r="B1" s="395"/>
      <c r="C1" s="395"/>
      <c r="D1" s="395"/>
      <c r="E1" s="395"/>
      <c r="F1" s="395"/>
      <c r="G1" s="395"/>
      <c r="H1" s="395"/>
      <c r="I1" s="395"/>
    </row>
    <row r="2" spans="1:9" x14ac:dyDescent="0.25">
      <c r="A2" s="394" t="s">
        <v>76</v>
      </c>
      <c r="B2" s="395"/>
      <c r="C2" s="395"/>
      <c r="D2" s="395"/>
      <c r="E2" s="395"/>
      <c r="F2" s="395"/>
      <c r="G2" s="395"/>
      <c r="H2" s="395"/>
      <c r="I2" s="395"/>
    </row>
    <row r="3" spans="1:9" ht="15.75" thickBot="1" x14ac:dyDescent="0.3">
      <c r="A3" s="395"/>
      <c r="B3" s="395"/>
      <c r="C3" s="395"/>
      <c r="D3" s="395"/>
      <c r="E3" s="395"/>
      <c r="F3" s="395"/>
      <c r="G3" s="395"/>
      <c r="H3" s="395"/>
      <c r="I3" s="395"/>
    </row>
    <row r="4" spans="1:9" ht="15.75" thickBot="1" x14ac:dyDescent="0.3">
      <c r="A4" s="396" t="s">
        <v>77</v>
      </c>
      <c r="B4" s="397">
        <v>2008.09</v>
      </c>
      <c r="C4" s="397">
        <v>2009.1</v>
      </c>
      <c r="D4" s="397">
        <v>2010.11</v>
      </c>
      <c r="E4" s="397">
        <v>2011.12</v>
      </c>
      <c r="F4" s="397">
        <v>2012.13</v>
      </c>
      <c r="G4" s="397">
        <v>2013.14</v>
      </c>
      <c r="H4" s="398" t="s">
        <v>25</v>
      </c>
      <c r="I4" s="399" t="s">
        <v>78</v>
      </c>
    </row>
    <row r="5" spans="1:9" x14ac:dyDescent="0.25">
      <c r="A5" s="395"/>
      <c r="B5" s="400"/>
      <c r="C5" s="400"/>
      <c r="D5" s="400"/>
      <c r="E5" s="395"/>
      <c r="F5" s="395"/>
      <c r="G5" s="395"/>
      <c r="H5" s="401"/>
      <c r="I5" s="395"/>
    </row>
    <row r="6" spans="1:9" x14ac:dyDescent="0.25">
      <c r="A6" s="394" t="s">
        <v>79</v>
      </c>
      <c r="B6" s="400"/>
      <c r="C6" s="400"/>
      <c r="D6" s="400"/>
      <c r="E6" s="395"/>
      <c r="F6" s="395"/>
      <c r="G6" s="418" t="s">
        <v>0</v>
      </c>
      <c r="H6" s="401"/>
      <c r="I6" s="395"/>
    </row>
    <row r="7" spans="1:9" x14ac:dyDescent="0.25">
      <c r="A7" s="402" t="s">
        <v>80</v>
      </c>
      <c r="B7" s="403">
        <v>5046.5600000000004</v>
      </c>
      <c r="C7" s="403">
        <v>0</v>
      </c>
      <c r="D7" s="403">
        <v>0</v>
      </c>
      <c r="E7" s="403">
        <v>0</v>
      </c>
      <c r="F7" s="403"/>
      <c r="G7" s="403">
        <v>2230</v>
      </c>
      <c r="H7" s="403">
        <f>SUM(B7:G7)</f>
        <v>7276.56</v>
      </c>
      <c r="I7" s="404">
        <v>1.9747205514078917E-3</v>
      </c>
    </row>
    <row r="8" spans="1:9" x14ac:dyDescent="0.25">
      <c r="A8" s="395"/>
      <c r="B8" s="405"/>
      <c r="C8" s="406"/>
      <c r="D8" s="406"/>
      <c r="E8" s="405"/>
      <c r="F8" s="405"/>
      <c r="G8" s="405"/>
      <c r="H8" s="405"/>
      <c r="I8" s="395"/>
    </row>
    <row r="9" spans="1:9" x14ac:dyDescent="0.25">
      <c r="A9" s="394" t="s">
        <v>81</v>
      </c>
      <c r="B9" s="405"/>
      <c r="C9" s="405"/>
      <c r="D9" s="405"/>
      <c r="E9" s="405"/>
      <c r="F9" s="405"/>
      <c r="G9" s="405"/>
      <c r="H9" s="405"/>
      <c r="I9" s="395"/>
    </row>
    <row r="10" spans="1:9" x14ac:dyDescent="0.25">
      <c r="A10" s="395" t="s">
        <v>82</v>
      </c>
      <c r="B10" s="405">
        <v>3390.89</v>
      </c>
      <c r="C10" s="405">
        <v>1124.68</v>
      </c>
      <c r="D10" s="405">
        <v>8614.23</v>
      </c>
      <c r="E10" s="405">
        <v>1768.38</v>
      </c>
      <c r="F10" s="405">
        <v>2098</v>
      </c>
      <c r="G10" s="405">
        <v>2660</v>
      </c>
      <c r="H10" s="405">
        <f t="shared" ref="H10:H25" si="0">SUM(B10:G10)</f>
        <v>19656.18</v>
      </c>
      <c r="I10" s="395"/>
    </row>
    <row r="11" spans="1:9" x14ac:dyDescent="0.25">
      <c r="A11" s="395" t="s">
        <v>83</v>
      </c>
      <c r="B11" s="405">
        <v>1632</v>
      </c>
      <c r="C11" s="405">
        <v>0</v>
      </c>
      <c r="D11" s="405">
        <v>0</v>
      </c>
      <c r="E11" s="405">
        <v>140.87</v>
      </c>
      <c r="F11" s="405">
        <v>114</v>
      </c>
      <c r="G11" s="405"/>
      <c r="H11" s="405">
        <f t="shared" si="0"/>
        <v>1886.87</v>
      </c>
      <c r="I11" s="395"/>
    </row>
    <row r="12" spans="1:9" x14ac:dyDescent="0.25">
      <c r="A12" s="407" t="s">
        <v>84</v>
      </c>
      <c r="B12" s="405">
        <v>0</v>
      </c>
      <c r="C12" s="405">
        <v>0</v>
      </c>
      <c r="D12" s="405">
        <v>0</v>
      </c>
      <c r="E12" s="405">
        <v>741.27</v>
      </c>
      <c r="F12" s="405"/>
      <c r="G12" s="405"/>
      <c r="H12" s="405">
        <f t="shared" si="0"/>
        <v>741.27</v>
      </c>
      <c r="I12" s="395"/>
    </row>
    <row r="13" spans="1:9" x14ac:dyDescent="0.25">
      <c r="A13" s="395" t="s">
        <v>85</v>
      </c>
      <c r="B13" s="405">
        <v>104360.54</v>
      </c>
      <c r="C13" s="405">
        <v>66280.28</v>
      </c>
      <c r="D13" s="405">
        <v>90074.4</v>
      </c>
      <c r="E13" s="405">
        <v>61850.63</v>
      </c>
      <c r="F13" s="405">
        <v>54364</v>
      </c>
      <c r="G13" s="405">
        <v>32186</v>
      </c>
      <c r="H13" s="405">
        <f t="shared" si="0"/>
        <v>409115.85</v>
      </c>
      <c r="I13" s="395"/>
    </row>
    <row r="14" spans="1:9" x14ac:dyDescent="0.25">
      <c r="A14" s="395" t="s">
        <v>96</v>
      </c>
      <c r="B14" s="405">
        <v>12286.16</v>
      </c>
      <c r="C14" s="405">
        <v>-3420.82</v>
      </c>
      <c r="D14" s="405">
        <v>6646.71</v>
      </c>
      <c r="E14" s="405">
        <v>8095.86</v>
      </c>
      <c r="F14" s="405">
        <v>6693</v>
      </c>
      <c r="G14" s="405">
        <v>9494</v>
      </c>
      <c r="H14" s="405">
        <f t="shared" si="0"/>
        <v>39794.910000000003</v>
      </c>
      <c r="I14" s="395"/>
    </row>
    <row r="15" spans="1:9" x14ac:dyDescent="0.25">
      <c r="A15" s="395" t="s">
        <v>86</v>
      </c>
      <c r="B15" s="405">
        <v>11125.73</v>
      </c>
      <c r="C15" s="405">
        <v>2436.21</v>
      </c>
      <c r="D15" s="405">
        <v>1017.12</v>
      </c>
      <c r="E15" s="405"/>
      <c r="F15" s="405">
        <v>1135</v>
      </c>
      <c r="G15" s="405">
        <v>5194</v>
      </c>
      <c r="H15" s="405">
        <f t="shared" si="0"/>
        <v>20908.059999999998</v>
      </c>
      <c r="I15" s="395"/>
    </row>
    <row r="16" spans="1:9" x14ac:dyDescent="0.25">
      <c r="A16" s="395" t="s">
        <v>87</v>
      </c>
      <c r="B16" s="405">
        <v>78421.45</v>
      </c>
      <c r="C16" s="405">
        <v>74751.499999999985</v>
      </c>
      <c r="D16" s="405">
        <v>87007.16</v>
      </c>
      <c r="E16" s="405">
        <v>26018.59</v>
      </c>
      <c r="F16" s="405">
        <v>18676</v>
      </c>
      <c r="G16" s="405">
        <v>20315</v>
      </c>
      <c r="H16" s="405">
        <f t="shared" si="0"/>
        <v>305189.7</v>
      </c>
      <c r="I16" s="395"/>
    </row>
    <row r="17" spans="1:9" x14ac:dyDescent="0.25">
      <c r="A17" s="395" t="s">
        <v>88</v>
      </c>
      <c r="B17" s="405">
        <v>80555.429999999993</v>
      </c>
      <c r="C17" s="405">
        <v>31455.93</v>
      </c>
      <c r="D17" s="405">
        <v>34755.89</v>
      </c>
      <c r="E17" s="405">
        <v>15108.119999999999</v>
      </c>
      <c r="F17" s="405">
        <v>19502</v>
      </c>
      <c r="G17" s="405">
        <v>48501</v>
      </c>
      <c r="H17" s="405">
        <f t="shared" si="0"/>
        <v>229878.37</v>
      </c>
      <c r="I17" s="395"/>
    </row>
    <row r="18" spans="1:9" x14ac:dyDescent="0.25">
      <c r="A18" s="395" t="s">
        <v>89</v>
      </c>
      <c r="B18" s="405">
        <v>65332.81</v>
      </c>
      <c r="C18" s="405">
        <v>22360.690000000002</v>
      </c>
      <c r="D18" s="405">
        <v>35174.71</v>
      </c>
      <c r="E18" s="405">
        <v>8188.14</v>
      </c>
      <c r="F18" s="405">
        <v>20315</v>
      </c>
      <c r="G18" s="405">
        <v>4888</v>
      </c>
      <c r="H18" s="405">
        <f t="shared" si="0"/>
        <v>156259.34999999998</v>
      </c>
      <c r="I18" s="395"/>
    </row>
    <row r="19" spans="1:9" x14ac:dyDescent="0.25">
      <c r="A19" s="395" t="s">
        <v>90</v>
      </c>
      <c r="B19" s="405">
        <v>21775.13</v>
      </c>
      <c r="C19" s="405">
        <v>19720.79</v>
      </c>
      <c r="D19" s="405">
        <v>29472.95</v>
      </c>
      <c r="E19" s="405">
        <v>41420.54</v>
      </c>
      <c r="F19" s="405">
        <v>19074</v>
      </c>
      <c r="G19" s="405">
        <v>5494</v>
      </c>
      <c r="H19" s="405">
        <f t="shared" si="0"/>
        <v>136957.41</v>
      </c>
      <c r="I19" s="395"/>
    </row>
    <row r="20" spans="1:9" x14ac:dyDescent="0.25">
      <c r="A20" s="395" t="s">
        <v>91</v>
      </c>
      <c r="B20" s="405">
        <v>6.92</v>
      </c>
      <c r="C20" s="405">
        <v>699.37</v>
      </c>
      <c r="D20" s="405">
        <v>2688.81</v>
      </c>
      <c r="E20" s="405">
        <v>8364.89</v>
      </c>
      <c r="F20" s="405">
        <v>3962</v>
      </c>
      <c r="G20" s="405">
        <v>3101</v>
      </c>
      <c r="H20" s="405">
        <f t="shared" si="0"/>
        <v>18822.989999999998</v>
      </c>
      <c r="I20" s="395"/>
    </row>
    <row r="21" spans="1:9" x14ac:dyDescent="0.25">
      <c r="A21" s="395" t="s">
        <v>92</v>
      </c>
      <c r="B21" s="405">
        <v>125</v>
      </c>
      <c r="C21" s="405">
        <v>0</v>
      </c>
      <c r="D21" s="405">
        <v>0</v>
      </c>
      <c r="E21" s="405">
        <v>0</v>
      </c>
      <c r="F21" s="405"/>
      <c r="G21" s="405"/>
      <c r="H21" s="405">
        <f t="shared" si="0"/>
        <v>125</v>
      </c>
      <c r="I21" s="395"/>
    </row>
    <row r="22" spans="1:9" x14ac:dyDescent="0.25">
      <c r="A22" s="395" t="s">
        <v>93</v>
      </c>
      <c r="B22" s="405">
        <v>93.71</v>
      </c>
      <c r="C22" s="405">
        <v>0</v>
      </c>
      <c r="D22" s="405">
        <v>5054.45</v>
      </c>
      <c r="E22" s="405">
        <v>5932.9699999999993</v>
      </c>
      <c r="F22" s="405">
        <v>92</v>
      </c>
      <c r="G22" s="405">
        <v>342</v>
      </c>
      <c r="H22" s="405">
        <f t="shared" si="0"/>
        <v>11515.13</v>
      </c>
      <c r="I22" s="395"/>
    </row>
    <row r="23" spans="1:9" x14ac:dyDescent="0.25">
      <c r="A23" s="395" t="s">
        <v>94</v>
      </c>
      <c r="B23" s="405">
        <v>216.88</v>
      </c>
      <c r="C23" s="405">
        <v>0</v>
      </c>
      <c r="D23" s="405">
        <v>0</v>
      </c>
      <c r="E23" s="405">
        <v>0</v>
      </c>
      <c r="F23" s="405"/>
      <c r="G23" s="405"/>
      <c r="H23" s="405">
        <f t="shared" si="0"/>
        <v>216.88</v>
      </c>
      <c r="I23" s="395"/>
    </row>
    <row r="24" spans="1:9" x14ac:dyDescent="0.25">
      <c r="A24" s="395" t="s">
        <v>95</v>
      </c>
      <c r="B24" s="405">
        <v>2775.02</v>
      </c>
      <c r="C24" s="405">
        <v>551.80999999999995</v>
      </c>
      <c r="D24" s="405">
        <v>0</v>
      </c>
      <c r="E24" s="405">
        <v>0</v>
      </c>
      <c r="F24" s="405">
        <v>2636</v>
      </c>
      <c r="G24" s="405">
        <v>1104</v>
      </c>
      <c r="H24" s="405">
        <f t="shared" si="0"/>
        <v>7066.83</v>
      </c>
      <c r="I24" s="395"/>
    </row>
    <row r="25" spans="1:9" x14ac:dyDescent="0.25">
      <c r="A25" s="395" t="s">
        <v>97</v>
      </c>
      <c r="B25" s="405">
        <v>677.87</v>
      </c>
      <c r="C25" s="405">
        <v>0</v>
      </c>
      <c r="D25" s="405">
        <v>0</v>
      </c>
      <c r="E25" s="405">
        <v>0</v>
      </c>
      <c r="F25" s="405"/>
      <c r="G25" s="405"/>
      <c r="H25" s="405">
        <f t="shared" si="0"/>
        <v>677.87</v>
      </c>
      <c r="I25" s="395"/>
    </row>
    <row r="26" spans="1:9" x14ac:dyDescent="0.25">
      <c r="A26" s="395"/>
      <c r="B26" s="405"/>
      <c r="C26" s="405"/>
      <c r="D26" s="405"/>
      <c r="E26" s="405"/>
      <c r="F26" s="405"/>
      <c r="G26" s="405"/>
      <c r="H26" s="405"/>
      <c r="I26" s="395"/>
    </row>
    <row r="27" spans="1:9" x14ac:dyDescent="0.25">
      <c r="A27" s="402" t="s">
        <v>98</v>
      </c>
      <c r="B27" s="403">
        <v>382775.54</v>
      </c>
      <c r="C27" s="403">
        <v>215960.43999999997</v>
      </c>
      <c r="D27" s="403">
        <v>300506.43</v>
      </c>
      <c r="E27" s="403">
        <v>177630.25999999998</v>
      </c>
      <c r="F27" s="403">
        <f>SUM(F9:F26)</f>
        <v>148661</v>
      </c>
      <c r="G27" s="403">
        <f>SUM(G9:G26)</f>
        <v>133279</v>
      </c>
      <c r="H27" s="403">
        <v>1076872.67</v>
      </c>
      <c r="I27" s="404">
        <v>0.42138062218590255</v>
      </c>
    </row>
    <row r="28" spans="1:9" x14ac:dyDescent="0.25">
      <c r="A28" s="395"/>
      <c r="B28" s="406"/>
      <c r="C28" s="406"/>
      <c r="D28" s="406"/>
      <c r="E28" s="405"/>
      <c r="F28" s="405"/>
      <c r="G28" s="405"/>
      <c r="H28" s="405"/>
      <c r="I28" s="395"/>
    </row>
    <row r="29" spans="1:9" x14ac:dyDescent="0.25">
      <c r="A29" s="394" t="s">
        <v>32</v>
      </c>
      <c r="B29" s="405"/>
      <c r="C29" s="405"/>
      <c r="D29" s="405"/>
      <c r="E29" s="405"/>
      <c r="F29" s="405"/>
      <c r="G29" s="405"/>
      <c r="H29" s="405"/>
      <c r="I29" s="395"/>
    </row>
    <row r="30" spans="1:9" x14ac:dyDescent="0.25">
      <c r="A30" s="407" t="s">
        <v>99</v>
      </c>
      <c r="B30" s="405"/>
      <c r="C30" s="405"/>
      <c r="D30" s="405"/>
      <c r="E30" s="405"/>
      <c r="F30" s="405">
        <v>378</v>
      </c>
      <c r="G30" s="405">
        <v>583</v>
      </c>
      <c r="H30" s="405">
        <f>SUM(B30:G30)</f>
        <v>961</v>
      </c>
      <c r="I30" s="395"/>
    </row>
    <row r="31" spans="1:9" x14ac:dyDescent="0.25">
      <c r="A31" s="395" t="s">
        <v>100</v>
      </c>
      <c r="B31" s="405">
        <v>11556.050000000001</v>
      </c>
      <c r="C31" s="405">
        <v>6823.34</v>
      </c>
      <c r="D31" s="405">
        <v>5350.28</v>
      </c>
      <c r="E31" s="405">
        <v>2736.1899999999996</v>
      </c>
      <c r="F31" s="405">
        <v>3125</v>
      </c>
      <c r="G31" s="405">
        <v>517</v>
      </c>
      <c r="H31" s="405">
        <f>SUM(B31:G31)</f>
        <v>30107.859999999997</v>
      </c>
      <c r="I31" s="395"/>
    </row>
    <row r="32" spans="1:9" x14ac:dyDescent="0.25">
      <c r="A32" s="395" t="s">
        <v>101</v>
      </c>
      <c r="B32" s="405">
        <v>56238.87000000001</v>
      </c>
      <c r="C32" s="405">
        <v>39603.599999999999</v>
      </c>
      <c r="D32" s="405">
        <v>55065.73</v>
      </c>
      <c r="E32" s="405">
        <v>104195.07999999999</v>
      </c>
      <c r="F32" s="405">
        <v>56068</v>
      </c>
      <c r="G32" s="405">
        <v>151921</v>
      </c>
      <c r="H32" s="405">
        <f>SUM(B32:G32)</f>
        <v>463092.28</v>
      </c>
      <c r="I32" s="395"/>
    </row>
    <row r="33" spans="1:9" x14ac:dyDescent="0.25">
      <c r="A33" s="395" t="s">
        <v>102</v>
      </c>
      <c r="B33" s="405">
        <v>406.18</v>
      </c>
      <c r="C33" s="405">
        <v>58.76</v>
      </c>
      <c r="D33" s="405"/>
      <c r="E33" s="405"/>
      <c r="F33" s="405"/>
      <c r="G33" s="405"/>
      <c r="H33" s="405">
        <f>SUM(B33:G33)</f>
        <v>464.94</v>
      </c>
      <c r="I33" s="395"/>
    </row>
    <row r="34" spans="1:9" x14ac:dyDescent="0.25">
      <c r="A34" s="395" t="s">
        <v>103</v>
      </c>
      <c r="B34" s="405"/>
      <c r="C34" s="405">
        <v>816.15</v>
      </c>
      <c r="D34" s="405">
        <v>11105.630000000001</v>
      </c>
      <c r="E34" s="405">
        <v>3700.77</v>
      </c>
      <c r="F34" s="405">
        <v>761</v>
      </c>
      <c r="G34" s="405">
        <v>632</v>
      </c>
      <c r="H34" s="405">
        <f>SUM(B34:G34)</f>
        <v>17015.550000000003</v>
      </c>
      <c r="I34" s="395"/>
    </row>
    <row r="35" spans="1:9" x14ac:dyDescent="0.25">
      <c r="A35" s="395"/>
      <c r="B35" s="405"/>
      <c r="C35" s="405"/>
      <c r="D35" s="405"/>
      <c r="E35" s="405"/>
      <c r="F35" s="405"/>
      <c r="G35" s="405"/>
      <c r="H35" s="405"/>
      <c r="I35" s="395"/>
    </row>
    <row r="36" spans="1:9" x14ac:dyDescent="0.25">
      <c r="A36" s="402" t="s">
        <v>98</v>
      </c>
      <c r="B36" s="403">
        <v>68201.100000000006</v>
      </c>
      <c r="C36" s="403">
        <v>47301.850000000006</v>
      </c>
      <c r="D36" s="403">
        <v>71521.64</v>
      </c>
      <c r="E36" s="403">
        <v>110632.04</v>
      </c>
      <c r="F36" s="403">
        <f>SUM(F28:F35)</f>
        <v>60332</v>
      </c>
      <c r="G36" s="403">
        <f>SUM(G28:G35)</f>
        <v>153653</v>
      </c>
      <c r="H36" s="403">
        <f>SUM(B36:G36)</f>
        <v>511641.63</v>
      </c>
      <c r="I36" s="404">
        <v>0.11647313507098198</v>
      </c>
    </row>
    <row r="37" spans="1:9" x14ac:dyDescent="0.25">
      <c r="A37" s="395"/>
      <c r="B37" s="406"/>
      <c r="C37" s="406"/>
      <c r="D37" s="406"/>
      <c r="E37" s="406"/>
      <c r="F37" s="406"/>
      <c r="G37" s="406"/>
      <c r="H37" s="405"/>
      <c r="I37" s="395"/>
    </row>
    <row r="38" spans="1:9" x14ac:dyDescent="0.25">
      <c r="A38" s="394" t="s">
        <v>20</v>
      </c>
      <c r="B38" s="406"/>
      <c r="C38" s="406"/>
      <c r="D38" s="406"/>
      <c r="E38" s="406"/>
      <c r="F38" s="406"/>
      <c r="G38" s="406"/>
      <c r="H38" s="405"/>
      <c r="I38" s="395"/>
    </row>
    <row r="39" spans="1:9" x14ac:dyDescent="0.25">
      <c r="A39" s="402" t="s">
        <v>104</v>
      </c>
      <c r="B39" s="403">
        <v>168061.26</v>
      </c>
      <c r="C39" s="403">
        <v>226032.84999999998</v>
      </c>
      <c r="D39" s="403">
        <v>189383.18</v>
      </c>
      <c r="E39" s="403">
        <v>253389.94</v>
      </c>
      <c r="F39" s="403">
        <v>263325</v>
      </c>
      <c r="G39" s="403">
        <v>256706</v>
      </c>
      <c r="H39" s="403">
        <f>SUM(B39:G39)</f>
        <v>1356898.23</v>
      </c>
      <c r="I39" s="404">
        <v>0.32746641630750351</v>
      </c>
    </row>
    <row r="40" spans="1:9" x14ac:dyDescent="0.25">
      <c r="A40" s="395"/>
      <c r="B40" s="406"/>
      <c r="C40" s="406"/>
      <c r="D40" s="406"/>
      <c r="E40" s="406"/>
      <c r="F40" s="406"/>
      <c r="G40" s="406"/>
      <c r="H40" s="405"/>
      <c r="I40" s="395"/>
    </row>
    <row r="41" spans="1:9" x14ac:dyDescent="0.25">
      <c r="A41" s="394" t="s">
        <v>23</v>
      </c>
      <c r="B41" s="406"/>
      <c r="C41" s="406"/>
      <c r="D41" s="406"/>
      <c r="E41" s="406"/>
      <c r="F41" s="406"/>
      <c r="G41" s="406"/>
      <c r="H41" s="405"/>
      <c r="I41" s="395"/>
    </row>
    <row r="42" spans="1:9" x14ac:dyDescent="0.25">
      <c r="A42" s="402" t="s">
        <v>105</v>
      </c>
      <c r="B42" s="403">
        <v>11024.42</v>
      </c>
      <c r="C42" s="403">
        <v>2717.63</v>
      </c>
      <c r="D42" s="403">
        <v>9797.16</v>
      </c>
      <c r="E42" s="403">
        <v>2526.9899999999998</v>
      </c>
      <c r="F42" s="403">
        <v>524</v>
      </c>
      <c r="G42" s="403">
        <v>4963</v>
      </c>
      <c r="H42" s="403">
        <f>SUM(B42:G42)</f>
        <v>31553.199999999997</v>
      </c>
      <c r="I42" s="404">
        <v>1.0199712445132601E-2</v>
      </c>
    </row>
    <row r="43" spans="1:9" x14ac:dyDescent="0.25">
      <c r="A43" s="395"/>
      <c r="B43" s="406"/>
      <c r="C43" s="406"/>
      <c r="D43" s="406"/>
      <c r="E43" s="405"/>
      <c r="F43" s="405"/>
      <c r="G43" s="405"/>
      <c r="H43" s="405"/>
      <c r="I43" s="395"/>
    </row>
    <row r="44" spans="1:9" x14ac:dyDescent="0.25">
      <c r="A44" s="394" t="s">
        <v>106</v>
      </c>
      <c r="B44" s="405"/>
      <c r="C44" s="405"/>
      <c r="D44" s="405"/>
      <c r="E44" s="405"/>
      <c r="F44" s="405"/>
      <c r="G44" s="405"/>
      <c r="H44" s="405"/>
      <c r="I44" s="395"/>
    </row>
    <row r="45" spans="1:9" x14ac:dyDescent="0.25">
      <c r="A45" s="395" t="s">
        <v>107</v>
      </c>
      <c r="B45" s="405">
        <v>21763.98</v>
      </c>
      <c r="C45" s="405">
        <v>11727.31</v>
      </c>
      <c r="D45" s="405">
        <v>19296.37</v>
      </c>
      <c r="E45" s="405">
        <v>10960.029999999999</v>
      </c>
      <c r="F45" s="405">
        <v>15608</v>
      </c>
      <c r="G45" s="405">
        <v>18822</v>
      </c>
      <c r="H45" s="405">
        <f>SUM(B45:G45)</f>
        <v>98177.69</v>
      </c>
      <c r="I45" s="395"/>
    </row>
    <row r="46" spans="1:9" x14ac:dyDescent="0.25">
      <c r="A46" s="395" t="s">
        <v>28</v>
      </c>
      <c r="B46" s="405">
        <v>215.59</v>
      </c>
      <c r="C46" s="405">
        <v>4693.1799999999985</v>
      </c>
      <c r="D46" s="405">
        <v>41418.140000000007</v>
      </c>
      <c r="E46" s="405">
        <v>35848.68</v>
      </c>
      <c r="F46" s="405">
        <v>34108</v>
      </c>
      <c r="G46" s="405">
        <v>9554</v>
      </c>
      <c r="H46" s="405">
        <f>SUM(B46:G46)</f>
        <v>125837.59</v>
      </c>
      <c r="I46" s="395"/>
    </row>
    <row r="47" spans="1:9" x14ac:dyDescent="0.25">
      <c r="A47" s="395" t="s">
        <v>108</v>
      </c>
      <c r="B47" s="405">
        <v>40025.009999999995</v>
      </c>
      <c r="C47" s="405">
        <v>36105.97</v>
      </c>
      <c r="D47" s="405">
        <v>27635.97</v>
      </c>
      <c r="E47" s="405">
        <v>8032.11</v>
      </c>
      <c r="F47" s="405">
        <v>19706</v>
      </c>
      <c r="G47" s="405">
        <v>18010</v>
      </c>
      <c r="H47" s="405">
        <f>SUM(B47:G47)</f>
        <v>149515.06</v>
      </c>
      <c r="I47" s="395"/>
    </row>
    <row r="48" spans="1:9" x14ac:dyDescent="0.25">
      <c r="A48" s="395" t="s">
        <v>109</v>
      </c>
      <c r="B48" s="405">
        <v>2489.11</v>
      </c>
      <c r="C48" s="405">
        <v>3800.98</v>
      </c>
      <c r="D48" s="405">
        <v>2515.88</v>
      </c>
      <c r="E48" s="405">
        <v>1766.07</v>
      </c>
      <c r="F48" s="405">
        <v>1802</v>
      </c>
      <c r="G48" s="405">
        <v>5939</v>
      </c>
      <c r="H48" s="405">
        <f>SUM(B48:G48)</f>
        <v>18313.04</v>
      </c>
      <c r="I48" s="395"/>
    </row>
    <row r="49" spans="1:11" hidden="1" outlineLevel="1" x14ac:dyDescent="0.25">
      <c r="A49" s="395"/>
      <c r="B49" s="405"/>
      <c r="C49" s="405"/>
      <c r="D49" s="405"/>
      <c r="E49" s="405"/>
      <c r="F49" s="405"/>
      <c r="G49" s="405"/>
      <c r="H49" s="405"/>
      <c r="I49" s="395"/>
    </row>
    <row r="50" spans="1:11" collapsed="1" x14ac:dyDescent="0.25">
      <c r="A50" s="402" t="s">
        <v>25</v>
      </c>
      <c r="B50" s="403">
        <v>64493.689999999995</v>
      </c>
      <c r="C50" s="403">
        <v>56327.44</v>
      </c>
      <c r="D50" s="403">
        <v>90866.360000000015</v>
      </c>
      <c r="E50" s="403">
        <v>56606.89</v>
      </c>
      <c r="F50" s="403">
        <f>SUM(F45:F48)</f>
        <v>71224</v>
      </c>
      <c r="G50" s="403">
        <f>SUM(G45:G48)</f>
        <v>52325</v>
      </c>
      <c r="H50" s="403">
        <f>SUM(H45:H49)</f>
        <v>391843.37999999995</v>
      </c>
      <c r="I50" s="404">
        <v>0.10498367720055611</v>
      </c>
    </row>
    <row r="51" spans="1:11" x14ac:dyDescent="0.25">
      <c r="A51" s="395"/>
      <c r="B51" s="406"/>
      <c r="C51" s="406"/>
      <c r="D51" s="406"/>
      <c r="E51" s="405"/>
      <c r="F51" s="405"/>
      <c r="G51" s="405"/>
      <c r="H51" s="405"/>
      <c r="I51" s="395"/>
    </row>
    <row r="52" spans="1:11" x14ac:dyDescent="0.25">
      <c r="A52" s="394" t="s">
        <v>110</v>
      </c>
      <c r="B52" s="405"/>
      <c r="C52" s="405"/>
      <c r="D52" s="405"/>
      <c r="E52" s="405"/>
      <c r="F52" s="405"/>
      <c r="G52" s="405"/>
      <c r="H52" s="405"/>
      <c r="I52" s="395"/>
    </row>
    <row r="53" spans="1:11" x14ac:dyDescent="0.25">
      <c r="A53" s="407" t="s">
        <v>114</v>
      </c>
      <c r="B53" s="405">
        <v>0</v>
      </c>
      <c r="C53" s="405">
        <v>0</v>
      </c>
      <c r="D53" s="405">
        <v>0</v>
      </c>
      <c r="E53" s="405">
        <v>0</v>
      </c>
      <c r="F53" s="405">
        <v>0</v>
      </c>
      <c r="G53" s="405">
        <v>1289</v>
      </c>
      <c r="H53" s="405">
        <f>SUM(B53:G53)</f>
        <v>1289</v>
      </c>
      <c r="I53" s="395"/>
    </row>
    <row r="54" spans="1:11" x14ac:dyDescent="0.25">
      <c r="A54" s="420" t="s">
        <v>113</v>
      </c>
      <c r="B54" s="422">
        <v>0</v>
      </c>
      <c r="C54" s="422">
        <v>0</v>
      </c>
      <c r="D54" s="422">
        <v>0</v>
      </c>
      <c r="E54" s="422">
        <v>0</v>
      </c>
      <c r="F54" s="422">
        <v>1220</v>
      </c>
      <c r="G54" s="422">
        <v>-4</v>
      </c>
      <c r="H54" s="405">
        <f>SUM(B54:G54)</f>
        <v>1216</v>
      </c>
      <c r="I54" s="424"/>
    </row>
    <row r="55" spans="1:11" x14ac:dyDescent="0.25">
      <c r="A55" s="419" t="s">
        <v>111</v>
      </c>
      <c r="B55" s="421">
        <v>10252.300000000001</v>
      </c>
      <c r="C55" s="421">
        <v>1270.21</v>
      </c>
      <c r="D55" s="421">
        <v>20692.190000000002</v>
      </c>
      <c r="E55" s="421">
        <v>12563.480000000001</v>
      </c>
      <c r="F55" s="421">
        <v>8290</v>
      </c>
      <c r="G55" s="421">
        <v>4601</v>
      </c>
      <c r="H55" s="405">
        <f>SUM(B55:G55)</f>
        <v>57669.180000000008</v>
      </c>
      <c r="I55" s="423">
        <v>1.7521716238515315E-2</v>
      </c>
    </row>
    <row r="56" spans="1:11" hidden="1" outlineLevel="1" x14ac:dyDescent="0.25">
      <c r="A56" s="407"/>
      <c r="B56" s="405"/>
      <c r="C56" s="405"/>
      <c r="D56" s="405"/>
      <c r="E56" s="405"/>
      <c r="F56" s="405"/>
      <c r="G56" s="405"/>
      <c r="H56" s="405"/>
      <c r="I56" s="395"/>
    </row>
    <row r="57" spans="1:11" hidden="1" outlineLevel="1" x14ac:dyDescent="0.25">
      <c r="A57" s="407"/>
      <c r="B57" s="405">
        <v>10252.300000000001</v>
      </c>
      <c r="C57" s="405">
        <v>1270.21</v>
      </c>
      <c r="D57" s="405">
        <v>20692.190000000002</v>
      </c>
      <c r="E57" s="405">
        <v>12563.480000000001</v>
      </c>
      <c r="F57" s="405"/>
      <c r="G57" s="405"/>
      <c r="H57" s="405">
        <v>44778.180000000008</v>
      </c>
      <c r="I57" s="408">
        <v>1.7521716238515315E-2</v>
      </c>
    </row>
    <row r="58" spans="1:11" collapsed="1" x14ac:dyDescent="0.25">
      <c r="A58" s="402" t="s">
        <v>25</v>
      </c>
      <c r="B58" s="403">
        <f>B54+B55</f>
        <v>10252.300000000001</v>
      </c>
      <c r="C58" s="403">
        <f>C54+C55</f>
        <v>1270.21</v>
      </c>
      <c r="D58" s="403">
        <f>D54+D55</f>
        <v>20692.190000000002</v>
      </c>
      <c r="E58" s="403">
        <f>E54+E55</f>
        <v>12563.480000000001</v>
      </c>
      <c r="F58" s="403">
        <f>F54+F55</f>
        <v>9510</v>
      </c>
      <c r="G58" s="403">
        <f>G53+G54+G55</f>
        <v>5886</v>
      </c>
      <c r="H58" s="403">
        <f>SUM(H53:H55)</f>
        <v>60174.180000000008</v>
      </c>
      <c r="I58" s="404">
        <v>0.10498367720055611</v>
      </c>
    </row>
    <row r="59" spans="1:11" outlineLevel="1" x14ac:dyDescent="0.25">
      <c r="A59" s="407"/>
      <c r="B59" s="405"/>
      <c r="C59" s="405"/>
      <c r="D59" s="405"/>
      <c r="E59" s="405"/>
      <c r="F59" s="405"/>
      <c r="G59" s="405"/>
      <c r="H59" s="405"/>
      <c r="I59" s="408"/>
    </row>
    <row r="60" spans="1:11" x14ac:dyDescent="0.25">
      <c r="A60" s="395"/>
      <c r="B60" s="405"/>
      <c r="C60" s="405"/>
      <c r="D60" s="405"/>
      <c r="E60" s="405"/>
      <c r="F60" s="405"/>
      <c r="G60" s="405"/>
      <c r="H60" s="405"/>
      <c r="I60" s="395"/>
    </row>
    <row r="61" spans="1:11" ht="15.75" thickBot="1" x14ac:dyDescent="0.3">
      <c r="A61" s="409" t="s">
        <v>98</v>
      </c>
      <c r="B61" s="410">
        <v>709854.87000000011</v>
      </c>
      <c r="C61" s="410">
        <v>549610.41999999993</v>
      </c>
      <c r="D61" s="410">
        <v>682766.96</v>
      </c>
      <c r="E61" s="410">
        <v>613349.6</v>
      </c>
      <c r="F61" s="410">
        <f>F58+F50+F42+F39+F36+F27+F7</f>
        <v>553576</v>
      </c>
      <c r="G61" s="410">
        <f>G58+G50+G42+G39+G36+G27+G7</f>
        <v>609042</v>
      </c>
      <c r="H61" s="410">
        <f>SUM(B61:G61)</f>
        <v>3718199.85</v>
      </c>
      <c r="I61" s="411">
        <v>1</v>
      </c>
      <c r="J61" s="412"/>
      <c r="K61" s="412"/>
    </row>
    <row r="62" spans="1:11" ht="15.75" thickTop="1" x14ac:dyDescent="0.25">
      <c r="A62" s="395"/>
      <c r="B62" s="405"/>
      <c r="C62" s="405"/>
      <c r="D62" s="405"/>
      <c r="E62" s="405"/>
      <c r="F62" s="405"/>
      <c r="G62" s="405"/>
      <c r="H62" s="405"/>
      <c r="I62" s="395"/>
    </row>
    <row r="63" spans="1:11" hidden="1" outlineLevel="1" x14ac:dyDescent="0.25">
      <c r="A63" s="407" t="s">
        <v>112</v>
      </c>
      <c r="B63" s="406">
        <v>709855.13</v>
      </c>
      <c r="C63" s="406">
        <v>549610.42000000004</v>
      </c>
      <c r="D63" s="406">
        <v>682766.96</v>
      </c>
      <c r="E63" s="406">
        <v>613349.6</v>
      </c>
      <c r="F63" s="406"/>
      <c r="G63" s="406"/>
      <c r="H63" s="405">
        <v>2555582.11</v>
      </c>
      <c r="I63" s="395"/>
    </row>
    <row r="64" spans="1:11" collapsed="1" x14ac:dyDescent="0.25">
      <c r="A64" s="413"/>
      <c r="B64" s="406"/>
      <c r="C64" s="405"/>
      <c r="D64" s="405"/>
      <c r="E64" s="405"/>
      <c r="F64" s="405"/>
      <c r="G64" s="405"/>
      <c r="H64" s="414"/>
      <c r="I64" s="415"/>
    </row>
    <row r="65" spans="1:9" x14ac:dyDescent="0.25">
      <c r="A65" s="395"/>
      <c r="B65" s="395"/>
      <c r="C65" s="395"/>
      <c r="D65" s="395"/>
      <c r="E65" s="395"/>
      <c r="F65" s="395"/>
      <c r="G65" s="395"/>
      <c r="H65" s="416"/>
      <c r="I65" s="415"/>
    </row>
    <row r="66" spans="1:9" x14ac:dyDescent="0.25">
      <c r="A66" s="395"/>
      <c r="B66" s="395"/>
      <c r="C66" s="395"/>
      <c r="D66" s="395"/>
      <c r="E66" s="395"/>
      <c r="F66" s="395"/>
      <c r="G66" s="395"/>
      <c r="H66" s="417"/>
      <c r="I66" s="415"/>
    </row>
    <row r="67" spans="1:9" x14ac:dyDescent="0.25">
      <c r="A67" s="395"/>
      <c r="B67" s="395"/>
      <c r="C67" s="395"/>
      <c r="D67" s="395"/>
      <c r="E67" s="395"/>
      <c r="F67" s="395"/>
      <c r="G67" s="395"/>
      <c r="H67" s="417"/>
      <c r="I67" s="415"/>
    </row>
    <row r="68" spans="1:9" x14ac:dyDescent="0.25">
      <c r="A68" s="395"/>
      <c r="B68" s="395"/>
      <c r="C68" s="395"/>
      <c r="D68" s="395"/>
      <c r="E68" s="395"/>
      <c r="F68" s="395"/>
      <c r="G68" s="395"/>
      <c r="H68" s="417"/>
      <c r="I68" s="415"/>
    </row>
    <row r="69" spans="1:9" x14ac:dyDescent="0.25">
      <c r="H69" s="417"/>
      <c r="I69" s="415"/>
    </row>
    <row r="70" spans="1:9" x14ac:dyDescent="0.25">
      <c r="H70" s="417"/>
      <c r="I70" s="415"/>
    </row>
    <row r="71" spans="1:9" x14ac:dyDescent="0.25">
      <c r="H71" s="417"/>
      <c r="I71" s="415"/>
    </row>
    <row r="72" spans="1:9" x14ac:dyDescent="0.25">
      <c r="H72" s="417"/>
      <c r="I72" s="4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opLeftCell="A34" workbookViewId="0">
      <selection activeCell="I8" sqref="I8"/>
    </sheetView>
  </sheetViews>
  <sheetFormatPr defaultRowHeight="15" outlineLevelRow="1" x14ac:dyDescent="0.25"/>
  <cols>
    <col min="1" max="1" width="32.28515625" bestFit="1" customWidth="1"/>
    <col min="2" max="3" width="10.140625" hidden="1" customWidth="1"/>
    <col min="4" max="5" width="10.140625" bestFit="1" customWidth="1"/>
    <col min="6" max="7" width="10.140625" customWidth="1"/>
    <col min="8" max="8" width="10.7109375" bestFit="1" customWidth="1"/>
    <col min="9" max="9" width="12.28515625" bestFit="1" customWidth="1"/>
    <col min="10" max="10" width="10.5703125" bestFit="1" customWidth="1"/>
    <col min="11" max="11" width="14.42578125" style="251" bestFit="1" customWidth="1"/>
    <col min="12" max="12" width="11.7109375" bestFit="1" customWidth="1"/>
  </cols>
  <sheetData>
    <row r="1" spans="1:11" x14ac:dyDescent="0.25">
      <c r="A1" s="394" t="s">
        <v>1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11" x14ac:dyDescent="0.25">
      <c r="A2" s="394" t="s">
        <v>76</v>
      </c>
      <c r="B2" s="395"/>
      <c r="C2" s="395"/>
      <c r="D2" s="395"/>
      <c r="E2" s="395"/>
      <c r="F2" s="395"/>
      <c r="G2" s="395"/>
      <c r="H2" s="395"/>
      <c r="I2" s="395"/>
      <c r="J2" s="395"/>
    </row>
    <row r="3" spans="1:11" ht="15.75" thickBot="1" x14ac:dyDescent="0.3">
      <c r="A3" s="395"/>
      <c r="B3" s="395"/>
      <c r="C3" s="395"/>
      <c r="D3" s="395"/>
      <c r="E3" s="395"/>
      <c r="F3" s="395"/>
      <c r="G3" s="395"/>
      <c r="H3" s="395"/>
      <c r="I3" s="395"/>
      <c r="J3" s="395"/>
    </row>
    <row r="4" spans="1:11" ht="15.75" thickBot="1" x14ac:dyDescent="0.3">
      <c r="A4" s="396" t="s">
        <v>77</v>
      </c>
      <c r="B4" s="397">
        <v>2008.09</v>
      </c>
      <c r="C4" s="397">
        <v>2009.1</v>
      </c>
      <c r="D4" s="397">
        <v>2010.11</v>
      </c>
      <c r="E4" s="397">
        <v>2011.12</v>
      </c>
      <c r="F4" s="397">
        <v>2012.13</v>
      </c>
      <c r="G4" s="397">
        <v>2013.14</v>
      </c>
      <c r="H4" s="397">
        <v>2014.15</v>
      </c>
      <c r="I4" s="398" t="s">
        <v>25</v>
      </c>
      <c r="J4" s="399" t="s">
        <v>78</v>
      </c>
    </row>
    <row r="5" spans="1:11" x14ac:dyDescent="0.25">
      <c r="A5" s="395"/>
      <c r="B5" s="400"/>
      <c r="C5" s="400"/>
      <c r="D5" s="400"/>
      <c r="E5" s="395"/>
      <c r="F5" s="395"/>
      <c r="G5" s="395"/>
      <c r="H5" s="395"/>
      <c r="I5" s="401"/>
      <c r="J5" s="395"/>
    </row>
    <row r="6" spans="1:11" x14ac:dyDescent="0.25">
      <c r="A6" s="394" t="s">
        <v>79</v>
      </c>
      <c r="B6" s="400"/>
      <c r="C6" s="400"/>
      <c r="D6" s="400"/>
      <c r="E6" s="395"/>
      <c r="F6" s="395"/>
      <c r="G6" s="418" t="s">
        <v>0</v>
      </c>
      <c r="H6" s="418"/>
      <c r="I6" s="401"/>
      <c r="J6" s="395"/>
    </row>
    <row r="7" spans="1:11" x14ac:dyDescent="0.25">
      <c r="A7" s="402" t="s">
        <v>80</v>
      </c>
      <c r="B7" s="403">
        <v>5046.5600000000004</v>
      </c>
      <c r="C7" s="403">
        <v>0</v>
      </c>
      <c r="D7" s="403">
        <v>0</v>
      </c>
      <c r="E7" s="403">
        <v>0</v>
      </c>
      <c r="F7" s="403"/>
      <c r="G7" s="403">
        <v>2230</v>
      </c>
      <c r="H7" s="403"/>
      <c r="I7" s="403">
        <f>SUM(E7:H7)</f>
        <v>2230</v>
      </c>
      <c r="J7" s="404">
        <f>I7/I61</f>
        <v>9.0308677367580787E-4</v>
      </c>
      <c r="K7" s="251" t="s">
        <v>0</v>
      </c>
    </row>
    <row r="8" spans="1:11" x14ac:dyDescent="0.25">
      <c r="A8" s="395"/>
      <c r="B8" s="405"/>
      <c r="C8" s="406"/>
      <c r="D8" s="406"/>
      <c r="E8" s="405"/>
      <c r="F8" s="405"/>
      <c r="G8" s="405"/>
      <c r="H8" s="405"/>
      <c r="I8" s="405"/>
      <c r="J8" s="395"/>
    </row>
    <row r="9" spans="1:11" x14ac:dyDescent="0.25">
      <c r="A9" s="394" t="s">
        <v>81</v>
      </c>
      <c r="B9" s="405"/>
      <c r="C9" s="405"/>
      <c r="D9" s="405"/>
      <c r="E9" s="405"/>
      <c r="F9" s="405"/>
      <c r="G9" s="405"/>
      <c r="H9" s="405"/>
      <c r="I9" s="405"/>
      <c r="J9" s="395"/>
    </row>
    <row r="10" spans="1:11" x14ac:dyDescent="0.25">
      <c r="A10" s="395" t="s">
        <v>82</v>
      </c>
      <c r="B10" s="405">
        <v>3390.89</v>
      </c>
      <c r="C10" s="405">
        <v>1124.68</v>
      </c>
      <c r="D10" s="405">
        <v>8614.23</v>
      </c>
      <c r="E10" s="405">
        <v>1768.38</v>
      </c>
      <c r="F10" s="405">
        <v>2098</v>
      </c>
      <c r="G10" s="405">
        <v>2660</v>
      </c>
      <c r="H10" s="596">
        <v>29148.81</v>
      </c>
      <c r="I10" s="405">
        <f>SUM(B10:H10)</f>
        <v>48804.990000000005</v>
      </c>
      <c r="J10" s="395"/>
    </row>
    <row r="11" spans="1:11" x14ac:dyDescent="0.25">
      <c r="A11" s="395" t="s">
        <v>83</v>
      </c>
      <c r="B11" s="405">
        <v>1632</v>
      </c>
      <c r="C11" s="405">
        <v>0</v>
      </c>
      <c r="D11" s="405">
        <v>0</v>
      </c>
      <c r="E11" s="405">
        <v>140.87</v>
      </c>
      <c r="F11" s="405">
        <v>114</v>
      </c>
      <c r="G11" s="405"/>
      <c r="H11" s="405"/>
      <c r="I11" s="405">
        <f t="shared" ref="I11:I24" si="0">SUM(B11:H11)</f>
        <v>1886.87</v>
      </c>
      <c r="J11" s="395"/>
    </row>
    <row r="12" spans="1:11" x14ac:dyDescent="0.25">
      <c r="A12" s="407" t="s">
        <v>84</v>
      </c>
      <c r="B12" s="405">
        <v>0</v>
      </c>
      <c r="C12" s="405">
        <v>0</v>
      </c>
      <c r="D12" s="405">
        <v>0</v>
      </c>
      <c r="E12" s="405">
        <v>741.27</v>
      </c>
      <c r="F12" s="405"/>
      <c r="G12" s="405"/>
      <c r="H12" s="405"/>
      <c r="I12" s="405">
        <f t="shared" si="0"/>
        <v>741.27</v>
      </c>
      <c r="J12" s="395"/>
    </row>
    <row r="13" spans="1:11" x14ac:dyDescent="0.25">
      <c r="A13" s="395" t="s">
        <v>85</v>
      </c>
      <c r="B13" s="405">
        <v>104360.54</v>
      </c>
      <c r="C13" s="405">
        <v>66280.28</v>
      </c>
      <c r="D13" s="405">
        <v>90074.4</v>
      </c>
      <c r="E13" s="405">
        <v>61850.63</v>
      </c>
      <c r="F13" s="405">
        <v>54364</v>
      </c>
      <c r="G13" s="405">
        <v>32186</v>
      </c>
      <c r="H13" s="595">
        <v>48002.06</v>
      </c>
      <c r="I13" s="405">
        <f t="shared" si="0"/>
        <v>457117.91</v>
      </c>
      <c r="J13" s="395"/>
    </row>
    <row r="14" spans="1:11" x14ac:dyDescent="0.25">
      <c r="A14" s="395" t="s">
        <v>96</v>
      </c>
      <c r="B14" s="405">
        <v>12286.16</v>
      </c>
      <c r="C14" s="405">
        <v>-3420.82</v>
      </c>
      <c r="D14" s="405">
        <v>6646.71</v>
      </c>
      <c r="E14" s="405">
        <v>8095.86</v>
      </c>
      <c r="F14" s="405">
        <v>6693</v>
      </c>
      <c r="G14" s="405">
        <v>9494</v>
      </c>
      <c r="H14" s="597">
        <v>168.36</v>
      </c>
      <c r="I14" s="405">
        <f t="shared" si="0"/>
        <v>39963.270000000004</v>
      </c>
      <c r="J14" s="395"/>
    </row>
    <row r="15" spans="1:11" x14ac:dyDescent="0.25">
      <c r="A15" s="395" t="s">
        <v>86</v>
      </c>
      <c r="B15" s="405">
        <v>11125.73</v>
      </c>
      <c r="C15" s="405">
        <v>2436.21</v>
      </c>
      <c r="D15" s="405">
        <v>1017.12</v>
      </c>
      <c r="E15" s="405"/>
      <c r="F15" s="405">
        <v>1135</v>
      </c>
      <c r="G15" s="405">
        <v>5194</v>
      </c>
      <c r="H15" s="597">
        <v>157.5</v>
      </c>
      <c r="I15" s="405">
        <f t="shared" si="0"/>
        <v>21065.559999999998</v>
      </c>
      <c r="J15" s="395"/>
    </row>
    <row r="16" spans="1:11" x14ac:dyDescent="0.25">
      <c r="A16" s="395" t="s">
        <v>87</v>
      </c>
      <c r="B16" s="405">
        <v>78421.45</v>
      </c>
      <c r="C16" s="405">
        <v>74751.499999999985</v>
      </c>
      <c r="D16" s="405">
        <v>87007.16</v>
      </c>
      <c r="E16" s="405">
        <v>26018.59</v>
      </c>
      <c r="F16" s="405">
        <v>18676</v>
      </c>
      <c r="G16" s="405">
        <v>20315</v>
      </c>
      <c r="H16" s="595">
        <v>39578.17</v>
      </c>
      <c r="I16" s="405">
        <f t="shared" si="0"/>
        <v>344767.87</v>
      </c>
      <c r="J16" s="395"/>
    </row>
    <row r="17" spans="1:11" x14ac:dyDescent="0.25">
      <c r="A17" s="395" t="s">
        <v>88</v>
      </c>
      <c r="B17" s="405">
        <v>80555.429999999993</v>
      </c>
      <c r="C17" s="405">
        <v>31455.93</v>
      </c>
      <c r="D17" s="405">
        <v>34755.89</v>
      </c>
      <c r="E17" s="405">
        <v>15108.119999999999</v>
      </c>
      <c r="F17" s="405">
        <v>19502</v>
      </c>
      <c r="G17" s="405">
        <v>48501</v>
      </c>
      <c r="H17" s="595">
        <v>130193.28</v>
      </c>
      <c r="I17" s="405">
        <f t="shared" si="0"/>
        <v>360071.65</v>
      </c>
      <c r="J17" s="395"/>
    </row>
    <row r="18" spans="1:11" x14ac:dyDescent="0.25">
      <c r="A18" s="395" t="s">
        <v>89</v>
      </c>
      <c r="B18" s="405">
        <v>65332.81</v>
      </c>
      <c r="C18" s="405">
        <v>22360.690000000002</v>
      </c>
      <c r="D18" s="405">
        <v>35174.71</v>
      </c>
      <c r="E18" s="405">
        <v>8188.14</v>
      </c>
      <c r="F18" s="405">
        <v>20315</v>
      </c>
      <c r="G18" s="405">
        <v>4888</v>
      </c>
      <c r="H18" s="595">
        <v>28586.26</v>
      </c>
      <c r="I18" s="405">
        <f t="shared" si="0"/>
        <v>184845.61</v>
      </c>
      <c r="J18" s="395"/>
    </row>
    <row r="19" spans="1:11" x14ac:dyDescent="0.25">
      <c r="A19" s="395" t="s">
        <v>90</v>
      </c>
      <c r="B19" s="405">
        <v>21775.13</v>
      </c>
      <c r="C19" s="405">
        <v>19720.79</v>
      </c>
      <c r="D19" s="405">
        <v>29472.95</v>
      </c>
      <c r="E19" s="405">
        <v>41420.54</v>
      </c>
      <c r="F19" s="405">
        <v>19074</v>
      </c>
      <c r="G19" s="405">
        <v>5494</v>
      </c>
      <c r="H19" s="595">
        <v>18582.810000000001</v>
      </c>
      <c r="I19" s="405">
        <f t="shared" si="0"/>
        <v>155540.22</v>
      </c>
      <c r="J19" s="395"/>
    </row>
    <row r="20" spans="1:11" x14ac:dyDescent="0.25">
      <c r="A20" s="395" t="s">
        <v>91</v>
      </c>
      <c r="B20" s="405">
        <v>6.92</v>
      </c>
      <c r="C20" s="405">
        <v>699.37</v>
      </c>
      <c r="D20" s="405">
        <v>2688.81</v>
      </c>
      <c r="E20" s="405">
        <v>8364.89</v>
      </c>
      <c r="F20" s="405">
        <v>3962</v>
      </c>
      <c r="G20" s="405">
        <v>3101</v>
      </c>
      <c r="H20" s="405"/>
      <c r="I20" s="405">
        <f t="shared" si="0"/>
        <v>18822.989999999998</v>
      </c>
      <c r="J20" s="395"/>
    </row>
    <row r="21" spans="1:11" x14ac:dyDescent="0.25">
      <c r="A21" s="395" t="s">
        <v>92</v>
      </c>
      <c r="B21" s="405">
        <v>125</v>
      </c>
      <c r="C21" s="405">
        <v>0</v>
      </c>
      <c r="D21" s="405">
        <v>0</v>
      </c>
      <c r="E21" s="405">
        <v>0</v>
      </c>
      <c r="F21" s="405"/>
      <c r="G21" s="405"/>
      <c r="H21" s="405"/>
      <c r="I21" s="405">
        <f t="shared" si="0"/>
        <v>125</v>
      </c>
      <c r="J21" s="395"/>
    </row>
    <row r="22" spans="1:11" x14ac:dyDescent="0.25">
      <c r="A22" s="395" t="s">
        <v>93</v>
      </c>
      <c r="B22" s="405">
        <v>93.71</v>
      </c>
      <c r="C22" s="405">
        <v>0</v>
      </c>
      <c r="D22" s="405">
        <v>5054.45</v>
      </c>
      <c r="E22" s="405">
        <v>5932.9699999999993</v>
      </c>
      <c r="F22" s="405">
        <v>92</v>
      </c>
      <c r="G22" s="405">
        <v>342</v>
      </c>
      <c r="H22" s="405">
        <v>3992.66</v>
      </c>
      <c r="I22" s="405">
        <f t="shared" si="0"/>
        <v>15507.789999999999</v>
      </c>
      <c r="J22" s="395"/>
    </row>
    <row r="23" spans="1:11" x14ac:dyDescent="0.25">
      <c r="A23" s="395" t="s">
        <v>94</v>
      </c>
      <c r="B23" s="405">
        <v>216.88</v>
      </c>
      <c r="C23" s="405">
        <v>0</v>
      </c>
      <c r="D23" s="405">
        <v>0</v>
      </c>
      <c r="E23" s="405">
        <v>0</v>
      </c>
      <c r="F23" s="405"/>
      <c r="G23" s="405"/>
      <c r="H23" s="405"/>
      <c r="I23" s="405">
        <f t="shared" si="0"/>
        <v>216.88</v>
      </c>
      <c r="J23" s="395"/>
    </row>
    <row r="24" spans="1:11" x14ac:dyDescent="0.25">
      <c r="A24" s="395" t="s">
        <v>95</v>
      </c>
      <c r="B24" s="405">
        <v>2775.02</v>
      </c>
      <c r="C24" s="405">
        <v>551.80999999999995</v>
      </c>
      <c r="D24" s="405">
        <v>0</v>
      </c>
      <c r="E24" s="405">
        <v>0</v>
      </c>
      <c r="F24" s="405">
        <v>2636</v>
      </c>
      <c r="G24" s="405">
        <v>1104</v>
      </c>
      <c r="H24" s="405">
        <v>3442.08</v>
      </c>
      <c r="I24" s="405">
        <f t="shared" si="0"/>
        <v>10508.91</v>
      </c>
      <c r="J24" s="395"/>
    </row>
    <row r="25" spans="1:11" x14ac:dyDescent="0.25">
      <c r="A25" s="395" t="s">
        <v>97</v>
      </c>
      <c r="B25" s="405">
        <v>677.87</v>
      </c>
      <c r="C25" s="405">
        <v>0</v>
      </c>
      <c r="D25" s="405">
        <v>0</v>
      </c>
      <c r="E25" s="405">
        <v>0</v>
      </c>
      <c r="F25" s="405"/>
      <c r="G25" s="405"/>
      <c r="H25" s="405"/>
      <c r="I25" s="405">
        <f t="shared" ref="I25" si="1">SUM(D25:G25)</f>
        <v>0</v>
      </c>
      <c r="J25" s="395"/>
    </row>
    <row r="26" spans="1:11" x14ac:dyDescent="0.25">
      <c r="A26" s="395"/>
      <c r="B26" s="405"/>
      <c r="C26" s="405"/>
      <c r="D26" s="405"/>
      <c r="E26" s="405"/>
      <c r="F26" s="405"/>
      <c r="G26" s="405"/>
      <c r="H26" s="405"/>
      <c r="I26" s="405"/>
      <c r="J26" s="395"/>
    </row>
    <row r="27" spans="1:11" x14ac:dyDescent="0.25">
      <c r="A27" s="402" t="s">
        <v>98</v>
      </c>
      <c r="B27" s="403">
        <v>382775.54</v>
      </c>
      <c r="C27" s="403">
        <v>215960.43999999997</v>
      </c>
      <c r="D27" s="403">
        <f>SUM(D10:D25)</f>
        <v>300506.43000000005</v>
      </c>
      <c r="E27" s="403">
        <f>SUM(E9:E26)</f>
        <v>177630.25999999998</v>
      </c>
      <c r="F27" s="403">
        <f>SUM(F9:F26)</f>
        <v>148661</v>
      </c>
      <c r="G27" s="403">
        <f>SUM(G9:G26)</f>
        <v>133279</v>
      </c>
      <c r="H27" s="403">
        <f>SUM(H9:H25)</f>
        <v>301851.99</v>
      </c>
      <c r="I27" s="405">
        <f>SUM(E27:H27)</f>
        <v>761422.25</v>
      </c>
      <c r="J27" s="404">
        <f>I27/I61</f>
        <v>0.30835442294057147</v>
      </c>
      <c r="K27" s="251" t="s">
        <v>0</v>
      </c>
    </row>
    <row r="28" spans="1:11" x14ac:dyDescent="0.25">
      <c r="A28" s="395"/>
      <c r="B28" s="406"/>
      <c r="C28" s="406"/>
      <c r="D28" s="406"/>
      <c r="E28" s="405"/>
      <c r="F28" s="405"/>
      <c r="G28" s="405"/>
      <c r="H28" s="405"/>
      <c r="I28" s="405"/>
      <c r="J28" s="395"/>
    </row>
    <row r="29" spans="1:11" x14ac:dyDescent="0.25">
      <c r="A29" s="394" t="s">
        <v>32</v>
      </c>
      <c r="B29" s="405"/>
      <c r="C29" s="405"/>
      <c r="D29" s="405"/>
      <c r="E29" s="405"/>
      <c r="F29" s="405"/>
      <c r="G29" s="405"/>
      <c r="H29" s="405"/>
      <c r="I29" s="405"/>
      <c r="J29" s="395"/>
    </row>
    <row r="30" spans="1:11" x14ac:dyDescent="0.25">
      <c r="A30" s="407" t="s">
        <v>99</v>
      </c>
      <c r="B30" s="405"/>
      <c r="C30" s="405"/>
      <c r="D30" s="405"/>
      <c r="E30" s="405"/>
      <c r="F30" s="405">
        <v>378</v>
      </c>
      <c r="G30" s="405">
        <v>583</v>
      </c>
      <c r="H30" s="405">
        <v>244.58</v>
      </c>
      <c r="I30" s="405">
        <f t="shared" ref="I30:I32" si="2">SUM(B30:H30)</f>
        <v>1205.58</v>
      </c>
      <c r="J30" s="395"/>
    </row>
    <row r="31" spans="1:11" x14ac:dyDescent="0.25">
      <c r="A31" s="395" t="s">
        <v>100</v>
      </c>
      <c r="B31" s="405">
        <v>11556.050000000001</v>
      </c>
      <c r="C31" s="405">
        <v>6823.34</v>
      </c>
      <c r="D31" s="405">
        <v>5350.28</v>
      </c>
      <c r="E31" s="405">
        <v>2736.1899999999996</v>
      </c>
      <c r="F31" s="405">
        <v>3125</v>
      </c>
      <c r="G31" s="405">
        <v>517</v>
      </c>
      <c r="H31" s="405">
        <v>1323.08</v>
      </c>
      <c r="I31" s="405">
        <f t="shared" si="2"/>
        <v>31430.939999999995</v>
      </c>
      <c r="J31" s="395"/>
    </row>
    <row r="32" spans="1:11" x14ac:dyDescent="0.25">
      <c r="A32" s="395" t="s">
        <v>101</v>
      </c>
      <c r="B32" s="405">
        <v>56238.87000000001</v>
      </c>
      <c r="C32" s="405">
        <v>39603.599999999999</v>
      </c>
      <c r="D32" s="405">
        <v>55065.73</v>
      </c>
      <c r="E32" s="405">
        <v>104195.07999999999</v>
      </c>
      <c r="F32" s="405">
        <v>56068</v>
      </c>
      <c r="G32" s="405">
        <v>151921</v>
      </c>
      <c r="H32" s="405">
        <f>96987.9-35338.99</f>
        <v>61648.909999999996</v>
      </c>
      <c r="I32" s="405">
        <f t="shared" si="2"/>
        <v>524741.19000000006</v>
      </c>
      <c r="J32" s="395"/>
    </row>
    <row r="33" spans="1:11" x14ac:dyDescent="0.25">
      <c r="A33" s="395" t="s">
        <v>102</v>
      </c>
      <c r="B33" s="405">
        <v>406.18</v>
      </c>
      <c r="C33" s="405">
        <v>58.76</v>
      </c>
      <c r="D33" s="405"/>
      <c r="E33" s="405"/>
      <c r="F33" s="405"/>
      <c r="G33" s="405"/>
      <c r="H33" s="405"/>
      <c r="I33" s="405">
        <f>SUM(D33:G33)</f>
        <v>0</v>
      </c>
      <c r="J33" s="395"/>
    </row>
    <row r="34" spans="1:11" x14ac:dyDescent="0.25">
      <c r="A34" s="395" t="s">
        <v>103</v>
      </c>
      <c r="B34" s="405"/>
      <c r="C34" s="405">
        <v>816.15</v>
      </c>
      <c r="D34" s="405">
        <v>11105.630000000001</v>
      </c>
      <c r="E34" s="405">
        <v>3700.77</v>
      </c>
      <c r="F34" s="405">
        <v>761</v>
      </c>
      <c r="G34" s="405">
        <v>632</v>
      </c>
      <c r="H34" s="405">
        <v>1176</v>
      </c>
      <c r="I34" s="405">
        <f t="shared" ref="I34" si="3">SUM(B34:H34)</f>
        <v>18191.550000000003</v>
      </c>
      <c r="J34" s="395"/>
    </row>
    <row r="35" spans="1:11" x14ac:dyDescent="0.25">
      <c r="A35" s="395"/>
      <c r="B35" s="405"/>
      <c r="C35" s="405"/>
      <c r="D35" s="405"/>
      <c r="E35" s="405"/>
      <c r="F35" s="405"/>
      <c r="G35" s="405"/>
      <c r="H35" s="405"/>
      <c r="I35" s="405"/>
      <c r="J35" s="395"/>
    </row>
    <row r="36" spans="1:11" x14ac:dyDescent="0.25">
      <c r="A36" s="402" t="s">
        <v>98</v>
      </c>
      <c r="B36" s="403">
        <v>68201.100000000006</v>
      </c>
      <c r="C36" s="403">
        <v>47301.850000000006</v>
      </c>
      <c r="D36" s="403">
        <f>SUM(D29:D35)</f>
        <v>71521.64</v>
      </c>
      <c r="E36" s="403">
        <f>SUM(E29:E34)</f>
        <v>110632.04</v>
      </c>
      <c r="F36" s="403">
        <f>SUM(F29:F34)</f>
        <v>60332</v>
      </c>
      <c r="G36" s="403">
        <f>SUM(G29:G34)</f>
        <v>153653</v>
      </c>
      <c r="H36" s="403">
        <f>SUM(H30:H34)</f>
        <v>64392.569999999992</v>
      </c>
      <c r="I36" s="405">
        <f>SUM(E36:H36)</f>
        <v>389009.61</v>
      </c>
      <c r="J36" s="404">
        <f>I36/I61</f>
        <v>0.15753786261156244</v>
      </c>
      <c r="K36" s="251" t="s">
        <v>0</v>
      </c>
    </row>
    <row r="37" spans="1:11" x14ac:dyDescent="0.25">
      <c r="A37" s="395"/>
      <c r="B37" s="406"/>
      <c r="C37" s="406"/>
      <c r="D37" s="406"/>
      <c r="E37" s="406"/>
      <c r="F37" s="406"/>
      <c r="G37" s="406"/>
      <c r="H37" s="406"/>
      <c r="I37" s="405"/>
      <c r="J37" s="395"/>
    </row>
    <row r="38" spans="1:11" x14ac:dyDescent="0.25">
      <c r="A38" s="394" t="s">
        <v>20</v>
      </c>
      <c r="B38" s="406"/>
      <c r="C38" s="406"/>
      <c r="D38" s="406"/>
      <c r="E38" s="406"/>
      <c r="F38" s="406"/>
      <c r="G38" s="406"/>
      <c r="H38" s="406"/>
      <c r="I38" s="405"/>
      <c r="J38" s="395"/>
    </row>
    <row r="39" spans="1:11" x14ac:dyDescent="0.25">
      <c r="A39" s="402" t="s">
        <v>104</v>
      </c>
      <c r="B39" s="403">
        <v>168061.26</v>
      </c>
      <c r="C39" s="403">
        <v>226032.84999999998</v>
      </c>
      <c r="D39" s="403">
        <v>189383.18</v>
      </c>
      <c r="E39" s="403">
        <v>253389.94</v>
      </c>
      <c r="F39" s="403">
        <v>263325</v>
      </c>
      <c r="G39" s="403">
        <v>256706</v>
      </c>
      <c r="H39" s="595">
        <f>267649.55-54698.21</f>
        <v>212951.34</v>
      </c>
      <c r="I39" s="405">
        <f>SUM(E39:H39)</f>
        <v>986372.27999999991</v>
      </c>
      <c r="J39" s="404">
        <f>I39/I61</f>
        <v>0.39945280716970871</v>
      </c>
      <c r="K39" s="251" t="s">
        <v>0</v>
      </c>
    </row>
    <row r="40" spans="1:11" x14ac:dyDescent="0.25">
      <c r="A40" s="395"/>
      <c r="B40" s="406"/>
      <c r="C40" s="406"/>
      <c r="D40" s="406"/>
      <c r="E40" s="406"/>
      <c r="F40" s="406"/>
      <c r="G40" s="406"/>
      <c r="H40" s="406"/>
      <c r="I40" s="405"/>
      <c r="J40" s="395"/>
    </row>
    <row r="41" spans="1:11" x14ac:dyDescent="0.25">
      <c r="A41" s="394" t="s">
        <v>23</v>
      </c>
      <c r="B41" s="406"/>
      <c r="C41" s="406"/>
      <c r="D41" s="406"/>
      <c r="E41" s="406"/>
      <c r="F41" s="406"/>
      <c r="G41" s="406"/>
      <c r="H41" s="406"/>
      <c r="I41" s="405"/>
      <c r="J41" s="395"/>
    </row>
    <row r="42" spans="1:11" x14ac:dyDescent="0.25">
      <c r="A42" s="402" t="s">
        <v>105</v>
      </c>
      <c r="B42" s="403">
        <v>11024.42</v>
      </c>
      <c r="C42" s="403">
        <v>2717.63</v>
      </c>
      <c r="D42" s="403">
        <v>9797.16</v>
      </c>
      <c r="E42" s="403">
        <v>2526.9899999999998</v>
      </c>
      <c r="F42" s="403">
        <v>524</v>
      </c>
      <c r="G42" s="403">
        <v>4963</v>
      </c>
      <c r="H42" s="403">
        <v>530.98</v>
      </c>
      <c r="I42" s="403">
        <f>SUM(E42:H42)</f>
        <v>8544.9699999999993</v>
      </c>
      <c r="J42" s="404">
        <f>I42/I61</f>
        <v>3.4604705777832138E-3</v>
      </c>
      <c r="K42" s="251" t="s">
        <v>0</v>
      </c>
    </row>
    <row r="43" spans="1:11" x14ac:dyDescent="0.25">
      <c r="A43" s="395"/>
      <c r="B43" s="406"/>
      <c r="C43" s="406"/>
      <c r="D43" s="406"/>
      <c r="E43" s="405"/>
      <c r="F43" s="405"/>
      <c r="G43" s="405"/>
      <c r="H43" s="405"/>
      <c r="I43" s="405"/>
      <c r="J43" s="395"/>
    </row>
    <row r="44" spans="1:11" x14ac:dyDescent="0.25">
      <c r="A44" s="394" t="s">
        <v>106</v>
      </c>
      <c r="B44" s="405"/>
      <c r="C44" s="405"/>
      <c r="D44" s="405"/>
      <c r="E44" s="405"/>
      <c r="F44" s="405"/>
      <c r="G44" s="405"/>
      <c r="H44" s="405"/>
      <c r="I44" s="405"/>
      <c r="J44" s="395"/>
    </row>
    <row r="45" spans="1:11" x14ac:dyDescent="0.25">
      <c r="A45" s="395" t="s">
        <v>107</v>
      </c>
      <c r="B45" s="405">
        <v>21763.98</v>
      </c>
      <c r="C45" s="405">
        <v>11727.31</v>
      </c>
      <c r="D45" s="405">
        <v>19296.37</v>
      </c>
      <c r="E45" s="405">
        <v>10960.029999999999</v>
      </c>
      <c r="F45" s="405">
        <v>15608</v>
      </c>
      <c r="G45" s="405">
        <v>18822</v>
      </c>
      <c r="H45" s="405">
        <f>43360.43-2644.13</f>
        <v>40716.300000000003</v>
      </c>
      <c r="I45" s="405">
        <f>SUM(D45:G45)</f>
        <v>64686.399999999994</v>
      </c>
      <c r="J45" s="395"/>
    </row>
    <row r="46" spans="1:11" x14ac:dyDescent="0.25">
      <c r="A46" s="395" t="s">
        <v>28</v>
      </c>
      <c r="B46" s="405">
        <v>215.59</v>
      </c>
      <c r="C46" s="405">
        <v>4693.1799999999985</v>
      </c>
      <c r="D46" s="405">
        <v>41418.140000000007</v>
      </c>
      <c r="E46" s="405">
        <v>35848.68</v>
      </c>
      <c r="F46" s="405">
        <v>34108</v>
      </c>
      <c r="G46" s="405">
        <v>9554</v>
      </c>
      <c r="H46" s="405">
        <v>21564.16</v>
      </c>
      <c r="I46" s="405">
        <f>SUM(D46:G46)</f>
        <v>120928.82</v>
      </c>
      <c r="J46" s="395"/>
    </row>
    <row r="47" spans="1:11" x14ac:dyDescent="0.25">
      <c r="A47" s="395" t="s">
        <v>108</v>
      </c>
      <c r="B47" s="405">
        <v>40025.009999999995</v>
      </c>
      <c r="C47" s="405">
        <v>36105.97</v>
      </c>
      <c r="D47" s="405">
        <v>27635.97</v>
      </c>
      <c r="E47" s="405">
        <v>8032.11</v>
      </c>
      <c r="F47" s="405">
        <v>19706</v>
      </c>
      <c r="G47" s="405">
        <v>18010</v>
      </c>
      <c r="H47" s="405">
        <v>16534.03</v>
      </c>
      <c r="I47" s="405">
        <f>SUM(D47:G47)</f>
        <v>73384.08</v>
      </c>
      <c r="J47" s="395"/>
    </row>
    <row r="48" spans="1:11" x14ac:dyDescent="0.25">
      <c r="A48" s="395" t="s">
        <v>109</v>
      </c>
      <c r="B48" s="405">
        <v>2489.11</v>
      </c>
      <c r="C48" s="405">
        <v>3800.98</v>
      </c>
      <c r="D48" s="405">
        <v>2515.88</v>
      </c>
      <c r="E48" s="405">
        <v>1766.07</v>
      </c>
      <c r="F48" s="405">
        <v>1802</v>
      </c>
      <c r="G48" s="405">
        <v>5939</v>
      </c>
      <c r="H48" s="405">
        <v>32348.02</v>
      </c>
      <c r="I48" s="405">
        <f>SUM(D48:G48)</f>
        <v>12022.95</v>
      </c>
      <c r="J48" s="395"/>
    </row>
    <row r="49" spans="1:12" hidden="1" outlineLevel="1" x14ac:dyDescent="0.25">
      <c r="A49" s="395"/>
      <c r="B49" s="405"/>
      <c r="C49" s="405"/>
      <c r="D49" s="405"/>
      <c r="E49" s="405"/>
      <c r="F49" s="405"/>
      <c r="G49" s="405"/>
      <c r="H49" s="405"/>
      <c r="I49" s="405"/>
      <c r="J49" s="395"/>
    </row>
    <row r="50" spans="1:12" collapsed="1" x14ac:dyDescent="0.25">
      <c r="A50" s="402" t="s">
        <v>25</v>
      </c>
      <c r="B50" s="403">
        <v>64493.689999999995</v>
      </c>
      <c r="C50" s="403">
        <v>56327.44</v>
      </c>
      <c r="D50" s="403">
        <f>SUM(D44:D48)</f>
        <v>90866.360000000015</v>
      </c>
      <c r="E50" s="403">
        <f>SUM(E44:E48)</f>
        <v>56606.89</v>
      </c>
      <c r="F50" s="403">
        <f>SUM(F44:F48)</f>
        <v>71224</v>
      </c>
      <c r="G50" s="403">
        <f>SUM(G44:G48)</f>
        <v>52325</v>
      </c>
      <c r="H50" s="403">
        <f>SUM(H45:H48)</f>
        <v>111162.51000000001</v>
      </c>
      <c r="I50" s="403">
        <f>SUM(E50:H50)</f>
        <v>291318.40000000002</v>
      </c>
      <c r="J50" s="404">
        <f>I50/I61</f>
        <v>0.11797569236251053</v>
      </c>
      <c r="K50" s="251" t="s">
        <v>0</v>
      </c>
    </row>
    <row r="51" spans="1:12" x14ac:dyDescent="0.25">
      <c r="A51" s="395"/>
      <c r="B51" s="406"/>
      <c r="C51" s="406"/>
      <c r="D51" s="406"/>
      <c r="E51" s="405"/>
      <c r="F51" s="405"/>
      <c r="G51" s="405"/>
      <c r="H51" s="405"/>
      <c r="I51" s="405"/>
      <c r="J51" s="395"/>
    </row>
    <row r="52" spans="1:12" x14ac:dyDescent="0.25">
      <c r="A52" s="394" t="s">
        <v>110</v>
      </c>
      <c r="B52" s="405"/>
      <c r="C52" s="405"/>
      <c r="D52" s="405"/>
      <c r="E52" s="405"/>
      <c r="F52" s="405"/>
      <c r="G52" s="405"/>
      <c r="H52" s="405"/>
      <c r="I52" s="405"/>
      <c r="J52" s="395"/>
    </row>
    <row r="53" spans="1:12" x14ac:dyDescent="0.25">
      <c r="A53" s="407" t="s">
        <v>114</v>
      </c>
      <c r="B53" s="405">
        <v>0</v>
      </c>
      <c r="C53" s="405">
        <v>0</v>
      </c>
      <c r="D53" s="405">
        <v>0</v>
      </c>
      <c r="E53" s="405">
        <v>0</v>
      </c>
      <c r="F53" s="405">
        <v>0</v>
      </c>
      <c r="G53" s="405">
        <v>1289</v>
      </c>
      <c r="H53" s="405">
        <v>159.97999999999999</v>
      </c>
      <c r="I53" s="405">
        <f>SUM(D53:G53)</f>
        <v>1289</v>
      </c>
      <c r="J53" s="395"/>
    </row>
    <row r="54" spans="1:12" x14ac:dyDescent="0.25">
      <c r="A54" s="420" t="s">
        <v>113</v>
      </c>
      <c r="B54" s="422">
        <v>0</v>
      </c>
      <c r="C54" s="422">
        <v>0</v>
      </c>
      <c r="D54" s="422">
        <v>0</v>
      </c>
      <c r="E54" s="422">
        <v>0</v>
      </c>
      <c r="F54" s="422">
        <v>1220</v>
      </c>
      <c r="G54" s="422">
        <v>-4</v>
      </c>
      <c r="H54" s="422">
        <f>1816.71-429.56</f>
        <v>1387.15</v>
      </c>
      <c r="I54" s="405">
        <f>SUM(D54:G54)</f>
        <v>1216</v>
      </c>
      <c r="J54" s="424"/>
    </row>
    <row r="55" spans="1:12" x14ac:dyDescent="0.25">
      <c r="A55" s="419" t="s">
        <v>111</v>
      </c>
      <c r="B55" s="421">
        <v>10252.300000000001</v>
      </c>
      <c r="C55" s="421">
        <v>1270.21</v>
      </c>
      <c r="D55" s="421">
        <v>20692.190000000002</v>
      </c>
      <c r="E55" s="421">
        <v>12563.480000000001</v>
      </c>
      <c r="F55" s="421">
        <v>8290</v>
      </c>
      <c r="G55" s="421">
        <v>4601</v>
      </c>
      <c r="H55" s="422">
        <v>904.55</v>
      </c>
      <c r="I55" s="405">
        <f>SUM(D55:G55)</f>
        <v>46146.670000000006</v>
      </c>
      <c r="J55" s="423" t="s">
        <v>0</v>
      </c>
    </row>
    <row r="56" spans="1:12" hidden="1" outlineLevel="1" x14ac:dyDescent="0.25">
      <c r="A56" s="407"/>
      <c r="B56" s="405"/>
      <c r="C56" s="405"/>
      <c r="D56" s="405"/>
      <c r="E56" s="405"/>
      <c r="F56" s="405"/>
      <c r="G56" s="405"/>
      <c r="H56" s="405"/>
      <c r="I56" s="405"/>
      <c r="J56" s="395"/>
    </row>
    <row r="57" spans="1:12" hidden="1" outlineLevel="1" x14ac:dyDescent="0.25">
      <c r="A57" s="407"/>
      <c r="B57" s="405">
        <v>10252.300000000001</v>
      </c>
      <c r="C57" s="405">
        <v>1270.21</v>
      </c>
      <c r="D57" s="405">
        <v>20692.190000000002</v>
      </c>
      <c r="E57" s="405">
        <v>12563.480000000001</v>
      </c>
      <c r="F57" s="405"/>
      <c r="G57" s="405"/>
      <c r="H57" s="405"/>
      <c r="I57" s="405">
        <v>44778.180000000008</v>
      </c>
      <c r="J57" s="408">
        <v>1.7521716238515315E-2</v>
      </c>
    </row>
    <row r="58" spans="1:12" collapsed="1" x14ac:dyDescent="0.25">
      <c r="A58" s="402" t="s">
        <v>25</v>
      </c>
      <c r="B58" s="403">
        <f>B54+B55</f>
        <v>10252.300000000001</v>
      </c>
      <c r="C58" s="403">
        <f>C54+C55</f>
        <v>1270.21</v>
      </c>
      <c r="D58" s="403">
        <f>D54+D55</f>
        <v>20692.190000000002</v>
      </c>
      <c r="E58" s="403">
        <f>E54+E55</f>
        <v>12563.480000000001</v>
      </c>
      <c r="F58" s="403">
        <f>F54+F55</f>
        <v>9510</v>
      </c>
      <c r="G58" s="403">
        <f>G53+G54+G55</f>
        <v>5886</v>
      </c>
      <c r="H58" s="403">
        <f>SUM(H53:H55)</f>
        <v>2451.6800000000003</v>
      </c>
      <c r="I58" s="403">
        <f>SUM(E58:H58)</f>
        <v>30411.160000000003</v>
      </c>
      <c r="J58" s="404">
        <f>I58/I61</f>
        <v>1.2315657564187796E-2</v>
      </c>
      <c r="K58" s="251" t="s">
        <v>0</v>
      </c>
    </row>
    <row r="59" spans="1:12" outlineLevel="1" x14ac:dyDescent="0.25">
      <c r="A59" s="407"/>
      <c r="B59" s="405"/>
      <c r="C59" s="405"/>
      <c r="D59" s="405"/>
      <c r="E59" s="405"/>
      <c r="F59" s="405"/>
      <c r="G59" s="405"/>
      <c r="H59" s="405"/>
      <c r="I59" s="405"/>
      <c r="J59" s="408"/>
    </row>
    <row r="60" spans="1:12" x14ac:dyDescent="0.25">
      <c r="A60" s="395"/>
      <c r="B60" s="405"/>
      <c r="C60" s="405"/>
      <c r="D60" s="405"/>
      <c r="E60" s="405"/>
      <c r="F60" s="405"/>
      <c r="G60" s="405"/>
      <c r="H60" s="405"/>
      <c r="I60" s="405"/>
      <c r="J60" s="395"/>
    </row>
    <row r="61" spans="1:12" ht="15.75" thickBot="1" x14ac:dyDescent="0.3">
      <c r="A61" s="409" t="s">
        <v>98</v>
      </c>
      <c r="B61" s="410">
        <v>709854.87000000011</v>
      </c>
      <c r="C61" s="410">
        <v>549610.41999999993</v>
      </c>
      <c r="D61" s="410">
        <v>682766.96</v>
      </c>
      <c r="E61" s="410">
        <v>613349.6</v>
      </c>
      <c r="F61" s="410">
        <f>F58+F50+F42+F39+F36+F27+F7</f>
        <v>553576</v>
      </c>
      <c r="G61" s="410">
        <f>G58+G50+G42+G39+G36+G27+G7</f>
        <v>609042</v>
      </c>
      <c r="H61" s="410">
        <f>H58+H50+H42+H39+H36+H27+H7</f>
        <v>693341.07000000007</v>
      </c>
      <c r="I61" s="403">
        <f>SUM(E61:H61)</f>
        <v>2469308.67</v>
      </c>
      <c r="J61" s="411">
        <f>J58+J50+J42+J39+J36+J27+J7</f>
        <v>0.99999999999999989</v>
      </c>
      <c r="K61" s="535" t="s">
        <v>0</v>
      </c>
      <c r="L61" s="412"/>
    </row>
    <row r="62" spans="1:12" ht="15.75" thickTop="1" x14ac:dyDescent="0.25">
      <c r="A62" s="395"/>
      <c r="B62" s="405"/>
      <c r="C62" s="405"/>
      <c r="D62" s="405"/>
      <c r="E62" s="405"/>
      <c r="F62" s="405"/>
      <c r="G62" s="405"/>
      <c r="H62" s="405"/>
      <c r="I62" s="405"/>
      <c r="J62" s="395"/>
    </row>
    <row r="63" spans="1:12" hidden="1" outlineLevel="1" x14ac:dyDescent="0.25">
      <c r="A63" s="407" t="s">
        <v>112</v>
      </c>
      <c r="B63" s="406">
        <v>709855.13</v>
      </c>
      <c r="C63" s="406">
        <v>549610.42000000004</v>
      </c>
      <c r="D63" s="406">
        <v>682766.96</v>
      </c>
      <c r="E63" s="406">
        <v>613349.6</v>
      </c>
      <c r="F63" s="406"/>
      <c r="G63" s="406"/>
      <c r="H63" s="406"/>
      <c r="I63" s="405">
        <v>2555582.11</v>
      </c>
      <c r="J63" s="395"/>
    </row>
    <row r="64" spans="1:12" collapsed="1" x14ac:dyDescent="0.25">
      <c r="A64" s="413"/>
      <c r="B64" s="406"/>
      <c r="C64" s="405"/>
      <c r="D64" s="405"/>
      <c r="E64" s="405"/>
      <c r="F64" s="405"/>
      <c r="G64" s="405"/>
      <c r="H64" s="405"/>
      <c r="I64" s="414"/>
      <c r="J64" s="415"/>
    </row>
    <row r="65" spans="1:11" x14ac:dyDescent="0.25">
      <c r="A65" s="395" t="s">
        <v>163</v>
      </c>
      <c r="B65" s="395"/>
      <c r="C65" s="395"/>
      <c r="D65" s="395"/>
      <c r="E65" s="395"/>
      <c r="F65" s="395"/>
      <c r="G65" s="395"/>
      <c r="H65" s="395"/>
      <c r="I65" s="416" t="s">
        <v>0</v>
      </c>
      <c r="J65" s="415"/>
      <c r="K65" s="251" t="s">
        <v>0</v>
      </c>
    </row>
    <row r="66" spans="1:11" x14ac:dyDescent="0.25">
      <c r="A66" s="395"/>
      <c r="B66" s="395"/>
      <c r="C66" s="395"/>
      <c r="D66" s="395"/>
      <c r="E66" s="395"/>
      <c r="F66" s="395"/>
      <c r="G66" s="395"/>
      <c r="H66" s="395"/>
      <c r="I66" s="417"/>
      <c r="J66" s="415"/>
    </row>
    <row r="67" spans="1:11" x14ac:dyDescent="0.25">
      <c r="A67" s="395"/>
      <c r="B67" s="395"/>
      <c r="C67" s="395"/>
      <c r="D67" s="395"/>
      <c r="E67" s="395"/>
      <c r="F67" s="395"/>
      <c r="G67" s="395"/>
      <c r="H67" s="395"/>
      <c r="I67" s="417"/>
      <c r="J67" s="415"/>
    </row>
    <row r="68" spans="1:11" x14ac:dyDescent="0.25">
      <c r="A68" s="395"/>
      <c r="B68" s="395"/>
      <c r="C68" s="395"/>
      <c r="D68" s="395"/>
      <c r="E68" s="395"/>
      <c r="F68" s="395"/>
      <c r="G68" s="395"/>
      <c r="H68" s="395"/>
      <c r="I68" s="417"/>
      <c r="J68" s="415"/>
    </row>
    <row r="69" spans="1:11" x14ac:dyDescent="0.25">
      <c r="I69" s="417"/>
      <c r="J69" s="415"/>
    </row>
    <row r="70" spans="1:11" x14ac:dyDescent="0.25">
      <c r="I70" s="417"/>
      <c r="J70" s="415"/>
    </row>
    <row r="71" spans="1:11" x14ac:dyDescent="0.25">
      <c r="I71" s="417"/>
      <c r="J71" s="415"/>
    </row>
    <row r="72" spans="1:11" x14ac:dyDescent="0.25">
      <c r="I72" s="417"/>
      <c r="J72" s="4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Level A 2015-16</vt:lpstr>
      <vt:lpstr>Sheet1</vt:lpstr>
      <vt:lpstr>WC 14-15</vt:lpstr>
      <vt:lpstr>WC 13-14</vt:lpstr>
      <vt:lpstr>WC 15-16</vt:lpstr>
      <vt:lpstr>'Level A 2015-16'!Print_Area</vt:lpstr>
    </vt:vector>
  </TitlesOfParts>
  <Company>California State University Fresno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Lewis</dc:creator>
  <cp:lastModifiedBy>Pamela Lewis</cp:lastModifiedBy>
  <cp:lastPrinted>2015-10-27T21:11:17Z</cp:lastPrinted>
  <dcterms:created xsi:type="dcterms:W3CDTF">2014-03-17T21:13:14Z</dcterms:created>
  <dcterms:modified xsi:type="dcterms:W3CDTF">2015-10-27T23:01:35Z</dcterms:modified>
</cp:coreProperties>
</file>