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ummary" sheetId="1" r:id="rId1"/>
    <sheet name="ACTPER" sheetId="2" r:id="rId2"/>
    <sheet name="DeptQ_PO Query" sheetId="3" r:id="rId3"/>
  </sheets>
  <definedNames>
    <definedName name="NvsASD">"V2004-12-10"</definedName>
    <definedName name="NvsAutoDrillOk">"VY"</definedName>
    <definedName name="NvsDrillHyperLink" localSheetId="1">"https://cmsfin.csufresno.edu/psp/ffreprd/EMPLOYEE/ERP/c/REPORT_BOOKS.IC_RUN_DRILLDOWN.GBL?Action=A&amp;NVS_INSTANCE=16488_10539"</definedName>
    <definedName name="NvsDrillHyperLink" localSheetId="0">"https://cmsfin.csufresno.edu/psp/ffreprd/EMPLOYEE/ERP/c/REPORT_BOOKS.IC_RUN_DRILLDOWN.GBL?Action=A&amp;NVS_INSTANCE=16487_10536"</definedName>
    <definedName name="NvsElapsedTime" localSheetId="1">0.0000578703693463467</definedName>
    <definedName name="NvsElapsedTime">0.0000925925924093463</definedName>
    <definedName name="NvsEndTime" localSheetId="1">38331.4492939815</definedName>
    <definedName name="NvsEndTime">38331.4485185185</definedName>
    <definedName name="NvsInstLang">"VENG"</definedName>
    <definedName name="NvsInstSpec" localSheetId="1">"%,QFR_LEDGER_KK_ACT,CA.POSTED_TOTAL_AMT,SALLBUDYRS,FACCOUNT,TRPT_ACCT_BUD,N603000,FDEPTID,V83440,FFUND_CODE,V00104"</definedName>
    <definedName name="NvsInstSpec">"%,FDEPTID,V83440,FFUND_CODE,V00104"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 localSheetId="1">"V1992-12-10"</definedName>
    <definedName name="NvsPanelEffdt">"V2004-11-19"</definedName>
    <definedName name="NvsPanelSetid" localSheetId="1">"VNEWGN"</definedName>
    <definedName name="NvsPanelSetid">"VFRSNO"</definedName>
    <definedName name="NvsParentRef">"[R72.xls]Sheet1!$M$47"</definedName>
    <definedName name="NvsReqBU">"VFRSNO"</definedName>
    <definedName name="NvsReqBUOnly">"VY"</definedName>
    <definedName name="NvsSheetType" localSheetId="1">"M"</definedName>
    <definedName name="NvsSheetType" localSheetId="0">"M"</definedName>
    <definedName name="NvsTransLed">"VN"</definedName>
    <definedName name="NvsTreeASD">"V2004-12-10"</definedName>
    <definedName name="NvsValTbl.SCENARIO">"BD_SCENARIO_TBL"</definedName>
    <definedName name="_xlnm.Print_Titles" localSheetId="1">'ACTPER'!$C:$E,'ACTPER'!$2:$6</definedName>
  </definedNames>
  <calcPr fullCalcOnLoad="1"/>
</workbook>
</file>

<file path=xl/sharedStrings.xml><?xml version="1.0" encoding="utf-8"?>
<sst xmlns="http://schemas.openxmlformats.org/spreadsheetml/2006/main" count="289" uniqueCount="186">
  <si>
    <t>California State University, Fresno</t>
  </si>
  <si>
    <t>Summary Balances Report</t>
  </si>
  <si>
    <t>Fund:</t>
  </si>
  <si>
    <t>Fiscal Yr:</t>
  </si>
  <si>
    <t>ALL</t>
  </si>
  <si>
    <t>Layout:</t>
  </si>
  <si>
    <t>Operator ID:</t>
  </si>
  <si>
    <t>Run Date:</t>
  </si>
  <si>
    <t>Account</t>
  </si>
  <si>
    <t>Description</t>
  </si>
  <si>
    <t>Pre-Encumbered (Req Entries)</t>
  </si>
  <si>
    <t>Projected Encumbered (PO Entries)</t>
  </si>
  <si>
    <t>Actual Amount (Expenditures)</t>
  </si>
  <si>
    <t>Budget Balance Available</t>
  </si>
  <si>
    <t>%,AFT,FACCOUNT</t>
  </si>
  <si>
    <t>%,AFT,FDESCR</t>
  </si>
  <si>
    <t>%,LDETAIL,FSCENARIO,VUPDATED</t>
  </si>
  <si>
    <t>%,QFR_LEDGER_KK_ENC,CA.POSTED_TOTAL_AMT</t>
  </si>
  <si>
    <t>%,QFR_LEDGER_KK_ACT,CA.POSTED_TOTAL_AMT</t>
  </si>
  <si>
    <t>%,C</t>
  </si>
  <si>
    <t>Department/Org:</t>
  </si>
  <si>
    <t>%,SALLBUDYRS</t>
  </si>
  <si>
    <t>%,LDETAIL,FSCENARIO,VORIGINAL</t>
  </si>
  <si>
    <t>Account Type:</t>
  </si>
  <si>
    <t>Expense</t>
  </si>
  <si>
    <t>Operating Expenses</t>
  </si>
  <si>
    <t>Salaries</t>
  </si>
  <si>
    <t>%,FACCOUNT,TRPT_ACCT_BUD,XDYYNYY01,N601000</t>
  </si>
  <si>
    <t>%,FACCOUNT,TRPT_ACCT_BUD,XDYYNYY01,N603000</t>
  </si>
  <si>
    <t>Total</t>
  </si>
  <si>
    <t xml:space="preserve">Budget Orginal </t>
  </si>
  <si>
    <t>Budget Adjustment</t>
  </si>
  <si>
    <t>Budget Current</t>
  </si>
  <si>
    <t>%,V601301</t>
  </si>
  <si>
    <t>%,V601401</t>
  </si>
  <si>
    <t>%,V601601</t>
  </si>
  <si>
    <t>%,V601801</t>
  </si>
  <si>
    <t>%,V601803</t>
  </si>
  <si>
    <t>%,V603102</t>
  </si>
  <si>
    <t>%,V603106</t>
  </si>
  <si>
    <t>%,V603107</t>
  </si>
  <si>
    <t>%,V603120</t>
  </si>
  <si>
    <t>%,V603123</t>
  </si>
  <si>
    <t>%,V603124</t>
  </si>
  <si>
    <t>%,V603126</t>
  </si>
  <si>
    <t>%,V603131</t>
  </si>
  <si>
    <t>%,V603132</t>
  </si>
  <si>
    <t>%,V603133</t>
  </si>
  <si>
    <t>%,V603140</t>
  </si>
  <si>
    <t>%,V603141</t>
  </si>
  <si>
    <t>%,V603142</t>
  </si>
  <si>
    <t>%,V603145</t>
  </si>
  <si>
    <t>%,V603179</t>
  </si>
  <si>
    <t>%,V603201</t>
  </si>
  <si>
    <t>%,V603301</t>
  </si>
  <si>
    <t>%,V603309</t>
  </si>
  <si>
    <t>%,V603501</t>
  </si>
  <si>
    <t>%,V603503</t>
  </si>
  <si>
    <t>%,V603504</t>
  </si>
  <si>
    <t>%,V603505</t>
  </si>
  <si>
    <t>%,V603506</t>
  </si>
  <si>
    <t>%,V603507</t>
  </si>
  <si>
    <t>%,V608000</t>
  </si>
  <si>
    <t>601301</t>
  </si>
  <si>
    <t>Management &amp; Supervisory Sals</t>
  </si>
  <si>
    <t>601401</t>
  </si>
  <si>
    <t>Regular Staff Salaries</t>
  </si>
  <si>
    <t>601601</t>
  </si>
  <si>
    <t>Overtime</t>
  </si>
  <si>
    <t>601801</t>
  </si>
  <si>
    <t>Student Assistant</t>
  </si>
  <si>
    <t>601803</t>
  </si>
  <si>
    <t>Student Assist-Non-resid Alien</t>
  </si>
  <si>
    <t>603102</t>
  </si>
  <si>
    <t>Advertising</t>
  </si>
  <si>
    <t>603106</t>
  </si>
  <si>
    <t>Computer Lease/Rental</t>
  </si>
  <si>
    <t>603107</t>
  </si>
  <si>
    <t>Computer Maintenance</t>
  </si>
  <si>
    <t>603120</t>
  </si>
  <si>
    <t>Jury Duty</t>
  </si>
  <si>
    <t>603123</t>
  </si>
  <si>
    <t>Non-Capitalized Comput Equip</t>
  </si>
  <si>
    <t>603124</t>
  </si>
  <si>
    <t>Non-Capitalized Equip/Furn</t>
  </si>
  <si>
    <t>603126</t>
  </si>
  <si>
    <t>Office Supplies</t>
  </si>
  <si>
    <t>603131</t>
  </si>
  <si>
    <t>Postage</t>
  </si>
  <si>
    <t>603132</t>
  </si>
  <si>
    <t>Printing</t>
  </si>
  <si>
    <t>603133</t>
  </si>
  <si>
    <t>Recruitment-Campus Intr</t>
  </si>
  <si>
    <t>603140</t>
  </si>
  <si>
    <t>Software Maintenance</t>
  </si>
  <si>
    <t>603141</t>
  </si>
  <si>
    <t>Software Licenses</t>
  </si>
  <si>
    <t>603142</t>
  </si>
  <si>
    <t>Specialized Training</t>
  </si>
  <si>
    <t>603145</t>
  </si>
  <si>
    <t>Miscellaneous Expense</t>
  </si>
  <si>
    <t>603179</t>
  </si>
  <si>
    <t>Procurement Card Purchases</t>
  </si>
  <si>
    <t>603201</t>
  </si>
  <si>
    <t>Travel-In State</t>
  </si>
  <si>
    <t>603301</t>
  </si>
  <si>
    <t>Consulting Services</t>
  </si>
  <si>
    <t>603309</t>
  </si>
  <si>
    <t>Service/Maintenance Agreements</t>
  </si>
  <si>
    <t>603501</t>
  </si>
  <si>
    <t>Cellular Telephones</t>
  </si>
  <si>
    <t>603503</t>
  </si>
  <si>
    <t>Telephone Line Charges</t>
  </si>
  <si>
    <t>603504</t>
  </si>
  <si>
    <t>Telephone MACS</t>
  </si>
  <si>
    <t>603505</t>
  </si>
  <si>
    <t>Telephone Usage</t>
  </si>
  <si>
    <t>603506</t>
  </si>
  <si>
    <t>Pager Charges</t>
  </si>
  <si>
    <t>603507</t>
  </si>
  <si>
    <t>Telephone-CVIP Internet Access</t>
  </si>
  <si>
    <t>608000</t>
  </si>
  <si>
    <t>Prior Year Budget Carry Forwrd</t>
  </si>
  <si>
    <t>R72</t>
  </si>
  <si>
    <t>10468</t>
  </si>
  <si>
    <t>83440</t>
  </si>
  <si>
    <t>Campus Information Systems</t>
  </si>
  <si>
    <t>00104</t>
  </si>
  <si>
    <t>General Fund-2004</t>
  </si>
  <si>
    <t>%,LACTUALS,FBUSINESS_UNIT,VFRSNO</t>
  </si>
  <si>
    <t>%,ATT,FACCOUNT</t>
  </si>
  <si>
    <t>%,AFT,FDESCR,UDESCR</t>
  </si>
  <si>
    <t>%,Y2004001</t>
  </si>
  <si>
    <t>%,LDETAIL,FSCENARIO,VUPDATED,XS</t>
  </si>
  <si>
    <t>%,Y2004002</t>
  </si>
  <si>
    <t>%,Y2004003</t>
  </si>
  <si>
    <t>%,Y2004004</t>
  </si>
  <si>
    <t>%,Y2004005</t>
  </si>
  <si>
    <t>%,Y2004006</t>
  </si>
  <si>
    <t>%,QFR_LEDGER_KK_ENC,CA.POSTED_TOTAL_AMT,XS</t>
  </si>
  <si>
    <t>%,QFR_LEDGER_KK_ACT,CA.POSTED_TOTAL_AMT,XS</t>
  </si>
  <si>
    <t>Breakdown by Account &amp; Period</t>
  </si>
  <si>
    <t>%,AFT,FACCOUNTING_PERIOD</t>
  </si>
  <si>
    <t xml:space="preserve">Budget Original </t>
  </si>
  <si>
    <t>2004-1</t>
  </si>
  <si>
    <t xml:space="preserve">Budget Current </t>
  </si>
  <si>
    <t>Pre-Encumbered (Req Drill)</t>
  </si>
  <si>
    <t>2004-2</t>
  </si>
  <si>
    <t>2004-3</t>
  </si>
  <si>
    <t>2004-4</t>
  </si>
  <si>
    <t>2004-5</t>
  </si>
  <si>
    <t>2004-6</t>
  </si>
  <si>
    <t>Projected Encumbered (PO Drill)</t>
  </si>
  <si>
    <t>Amount (Exp Drill)</t>
  </si>
  <si>
    <t>%,FACCOUNT,X,_</t>
  </si>
  <si>
    <t>Account Total</t>
  </si>
  <si>
    <t>Purchase Orders Not Invoiced</t>
  </si>
  <si>
    <t>PO</t>
  </si>
  <si>
    <t>Line</t>
  </si>
  <si>
    <t>Open PO Amount</t>
  </si>
  <si>
    <t>Dept</t>
  </si>
  <si>
    <t>Fund</t>
  </si>
  <si>
    <t>Class</t>
  </si>
  <si>
    <t>Program</t>
  </si>
  <si>
    <t>Open Item Description</t>
  </si>
  <si>
    <t>BLANKET P.O. TO CONTINUE PAGER SERVICE FOR THE PERIOD OF JULY 1, 2004 THROUGH JUNE 30, 2005 FOR CAMPUS INFORMATION SYSTEMS.</t>
  </si>
  <si>
    <t>BLANKET P.O. FOR TELEPHONE SERVICE FOR STUDENT REGISTRATION. EXISTING ACCOUNT NO. IS 559-291-7442-297 FOR PERIOD OF 7/1/2004 THROUGH 6/30/2005. APPROX. $35.00 PER MONTH.</t>
  </si>
  <si>
    <t>BLANKET P.O. FOR CELLULAR PHONE SERVICE FOR THE PERIOD OF JULY 1, 2004 THROUGH JUNE 30, 2005. WSCA CONTRACT.</t>
  </si>
  <si>
    <t>BLANKET P.O. FOR CELLULAR SERVICE FOR THE PERIOD OF JULY 1, 2004 THROUGH JUNE 30, 2005. WSCA CONTRACT.</t>
  </si>
  <si>
    <t>IBM 7025 f40 MAINTENANCE, S/N 000003657, STATEMENT OF WORK NO. AM6ROP. TERM: 7/1/2004 - 6/30/2005. BILLED QUARTERLY. CMAS PRICING PROGRAM.</t>
  </si>
  <si>
    <t>DELL LEASE AGREEMENT SCHEDULE 517</t>
  </si>
  <si>
    <t>LINE 1 WAS FINALIZED WITH A PAYMENT OF $5310.00. THIS LINE IS TO ENCUMBER THE REMAINING AMOUNT OF LINE 1 AND ALTERATION #2.</t>
  </si>
  <si>
    <t>PEOPLESOFT FIN 8.4 REMOTE TECHNICAL UPGRADE SERVICES.</t>
  </si>
  <si>
    <t>PEOPLESOFT FIN 8.4 UPGRADE FUNCTIONAL COORDINATION SERVICES.</t>
  </si>
  <si>
    <t>RENEWAL MAINTENANCE FOR TOAD P/N 9923-1035M</t>
  </si>
  <si>
    <t>RENEWAL MAINTENANCE FOR PL FORMATTER PLUS OPTION FOR TOAD P/N 9923-1070M</t>
  </si>
  <si>
    <t>RENEWAL MAINTENANCE FOR DEBUGGER OPTION FOR TOAD</t>
  </si>
  <si>
    <t>PEOPLESOFT FIN 8.4 nVISION REPORTS UPGRADE SERVICES. PROJECT PERIOD: NOVEMBER 8, 2004 THROUGH DECEMBER 15, 2004.</t>
  </si>
  <si>
    <t>RENEWAL MAINTENANCE FOR TOAD, P/N 9923-1035m</t>
  </si>
  <si>
    <t>RENEWAL MAINTENANCE FOR PL FORMATTER PLUS OPTION FOR TOAD, P/N 9923-1070m</t>
  </si>
  <si>
    <t xml:space="preserve">Drill down on 92,,042 </t>
  </si>
  <si>
    <t>92,041.60 matches with total on blue Account by Period spreadsheet</t>
  </si>
  <si>
    <t>Drill down on 92,042</t>
  </si>
  <si>
    <t>Select PO Detail Lines layout</t>
  </si>
  <si>
    <t>Select Account by Period layout</t>
  </si>
  <si>
    <t/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</si>
</sst>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d\-mmm\-yy;@"/>
    <numFmt numFmtId="167" formatCode="&quot;$&quot;#,##0.00"/>
    <numFmt numFmtId="168" formatCode="m/d/yyyy;@"/>
    <numFmt numFmtId="169" formatCode="[Red]##,#0_;\(#,##0\)"/>
    <numFmt numFmtId="170" formatCode="#,##0;[Red]\(#,##0\)"/>
    <numFmt numFmtId="171" formatCode="0.00_);[Red]\(0.00\)"/>
    <numFmt numFmtId="172" formatCode="0.000_);[Red]\(0.000\)"/>
    <numFmt numFmtId="173" formatCode="0.0_);[Red]\(0.0\)"/>
    <numFmt numFmtId="174" formatCode="0_);[Red]\(0\)"/>
    <numFmt numFmtId="175" formatCode="#,##0.0_);[Red]\(#,##0.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Arial"/>
      <family val="0"/>
    </font>
    <font>
      <sz val="10"/>
      <name val="MS Sans Serif"/>
      <family val="0"/>
    </font>
    <font>
      <sz val="8"/>
      <color indexed="13"/>
      <name val="MS Sans Serif"/>
      <family val="0"/>
    </font>
    <font>
      <sz val="8"/>
      <name val="MS Sans Serif"/>
      <family val="0"/>
    </font>
    <font>
      <b/>
      <sz val="8"/>
      <color indexed="15"/>
      <name val="MS Sans Serif"/>
      <family val="0"/>
    </font>
    <font>
      <b/>
      <sz val="12"/>
      <color indexed="13"/>
      <name val="Arial"/>
      <family val="2"/>
    </font>
    <font>
      <sz val="8"/>
      <color indexed="41"/>
      <name val="MS Sans Serif"/>
      <family val="2"/>
    </font>
    <font>
      <b/>
      <sz val="12"/>
      <color indexed="41"/>
      <name val="MS Sans Serif"/>
      <family val="2"/>
    </font>
    <font>
      <sz val="8"/>
      <color indexed="62"/>
      <name val="MS Sans Serif"/>
      <family val="2"/>
    </font>
    <font>
      <sz val="12"/>
      <color indexed="13"/>
      <name val="Arial"/>
      <family val="2"/>
    </font>
    <font>
      <b/>
      <sz val="12"/>
      <color indexed="18"/>
      <name val="Arial"/>
      <family val="2"/>
    </font>
    <font>
      <b/>
      <sz val="12"/>
      <color indexed="15"/>
      <name val="Arial"/>
      <family val="2"/>
    </font>
    <font>
      <b/>
      <sz val="10"/>
      <color indexed="41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MS Sans Serif"/>
      <family val="2"/>
    </font>
    <font>
      <b/>
      <sz val="13.5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20"/>
      <name val="Arial"/>
      <family val="0"/>
    </font>
    <font>
      <sz val="18"/>
      <name val="MS Sans Serif"/>
      <family val="0"/>
    </font>
    <font>
      <b/>
      <sz val="18"/>
      <color indexed="13"/>
      <name val="Arial"/>
      <family val="2"/>
    </font>
    <font>
      <sz val="18"/>
      <color indexed="13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0" fillId="2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right" wrapText="1"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49" fontId="8" fillId="0" borderId="0" xfId="0" applyNumberFormat="1" applyFont="1" applyAlignment="1">
      <alignment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4" fillId="0" borderId="3" xfId="0" applyNumberFormat="1" applyFont="1" applyBorder="1" applyAlignment="1">
      <alignment horizontal="center"/>
    </xf>
    <xf numFmtId="170" fontId="10" fillId="2" borderId="0" xfId="22" applyFont="1">
      <alignment/>
      <protection/>
    </xf>
    <xf numFmtId="170" fontId="12" fillId="2" borderId="0" xfId="22" applyFont="1">
      <alignment/>
      <protection/>
    </xf>
    <xf numFmtId="170" fontId="10" fillId="2" borderId="0" xfId="22">
      <alignment/>
      <protection/>
    </xf>
    <xf numFmtId="170" fontId="10" fillId="2" borderId="0" xfId="22" applyFill="1">
      <alignment/>
      <protection/>
    </xf>
    <xf numFmtId="38" fontId="10" fillId="2" borderId="0" xfId="17" applyNumberFormat="1" applyFill="1" applyAlignment="1">
      <alignment/>
    </xf>
    <xf numFmtId="170" fontId="11" fillId="2" borderId="0" xfId="22" applyFont="1" applyFill="1">
      <alignment/>
      <protection/>
    </xf>
    <xf numFmtId="170" fontId="10" fillId="3" borderId="0" xfId="22" applyFill="1">
      <alignment/>
      <protection/>
    </xf>
    <xf numFmtId="170" fontId="11" fillId="2" borderId="0" xfId="22" applyFont="1">
      <alignment/>
      <protection/>
    </xf>
    <xf numFmtId="170" fontId="10" fillId="2" borderId="0" xfId="22" applyAlignment="1">
      <alignment horizontal="left"/>
      <protection/>
    </xf>
    <xf numFmtId="170" fontId="14" fillId="2" borderId="0" xfId="22" applyFont="1" applyAlignment="1">
      <alignment horizontal="right"/>
      <protection/>
    </xf>
    <xf numFmtId="170" fontId="15" fillId="2" borderId="0" xfId="22" applyFont="1" applyAlignment="1">
      <alignment horizontal="right"/>
      <protection/>
    </xf>
    <xf numFmtId="170" fontId="14" fillId="2" borderId="0" xfId="22" applyFont="1" applyFill="1" applyAlignment="1">
      <alignment horizontal="right"/>
      <protection/>
    </xf>
    <xf numFmtId="170" fontId="16" fillId="2" borderId="0" xfId="22" applyFont="1" applyFill="1" applyAlignment="1">
      <alignment horizontal="right"/>
      <protection/>
    </xf>
    <xf numFmtId="38" fontId="14" fillId="2" borderId="0" xfId="17" applyNumberFormat="1" applyFont="1" applyFill="1" applyAlignment="1">
      <alignment horizontal="right"/>
    </xf>
    <xf numFmtId="170" fontId="16" fillId="3" borderId="0" xfId="22" applyFont="1" applyFill="1" applyAlignment="1">
      <alignment horizontal="right"/>
      <protection/>
    </xf>
    <xf numFmtId="170" fontId="14" fillId="3" borderId="0" xfId="22" applyFont="1" applyFill="1" applyAlignment="1">
      <alignment horizontal="right"/>
      <protection/>
    </xf>
    <xf numFmtId="170" fontId="17" fillId="2" borderId="0" xfId="22" applyFont="1">
      <alignment/>
      <protection/>
    </xf>
    <xf numFmtId="170" fontId="17" fillId="2" borderId="0" xfId="22" applyFont="1" applyFill="1">
      <alignment/>
      <protection/>
    </xf>
    <xf numFmtId="170" fontId="16" fillId="2" borderId="0" xfId="22" applyFont="1" applyFill="1" applyBorder="1" applyAlignment="1">
      <alignment horizontal="right"/>
      <protection/>
    </xf>
    <xf numFmtId="170" fontId="13" fillId="2" borderId="0" xfId="22" applyFont="1" applyFill="1" applyBorder="1" applyAlignment="1">
      <alignment horizontal="center"/>
      <protection/>
    </xf>
    <xf numFmtId="170" fontId="18" fillId="2" borderId="0" xfId="22" applyFont="1" applyFill="1" applyBorder="1" applyAlignment="1">
      <alignment horizontal="center" wrapText="1"/>
      <protection/>
    </xf>
    <xf numFmtId="170" fontId="17" fillId="2" borderId="0" xfId="22" applyFont="1" applyFill="1" applyBorder="1">
      <alignment/>
      <protection/>
    </xf>
    <xf numFmtId="170" fontId="17" fillId="2" borderId="0" xfId="22" applyFont="1" applyFill="1" applyBorder="1" applyAlignment="1">
      <alignment horizontal="center"/>
      <protection/>
    </xf>
    <xf numFmtId="170" fontId="17" fillId="3" borderId="0" xfId="22" applyFont="1" applyFill="1" applyBorder="1" applyAlignment="1">
      <alignment horizontal="center"/>
      <protection/>
    </xf>
    <xf numFmtId="170" fontId="18" fillId="2" borderId="0" xfId="22" applyFont="1" applyFill="1" applyBorder="1" applyAlignment="1">
      <alignment horizontal="center"/>
      <protection/>
    </xf>
    <xf numFmtId="170" fontId="19" fillId="2" borderId="0" xfId="22" applyFont="1" applyAlignment="1">
      <alignment horizontal="right" wrapText="1"/>
      <protection/>
    </xf>
    <xf numFmtId="170" fontId="18" fillId="4" borderId="2" xfId="22" applyFont="1" applyFill="1" applyBorder="1" applyAlignment="1">
      <alignment horizontal="center" wrapText="1"/>
      <protection/>
    </xf>
    <xf numFmtId="170" fontId="17" fillId="2" borderId="0" xfId="22" applyFont="1" applyAlignment="1">
      <alignment wrapText="1"/>
      <protection/>
    </xf>
    <xf numFmtId="170" fontId="17" fillId="2" borderId="0" xfId="22" applyFont="1" applyFill="1" applyAlignment="1">
      <alignment wrapText="1"/>
      <protection/>
    </xf>
    <xf numFmtId="170" fontId="18" fillId="4" borderId="4" xfId="22" applyFont="1" applyFill="1" applyBorder="1" applyAlignment="1">
      <alignment horizontal="center" wrapText="1"/>
      <protection/>
    </xf>
    <xf numFmtId="170" fontId="17" fillId="2" borderId="4" xfId="22" applyFont="1" applyFill="1" applyBorder="1" applyAlignment="1">
      <alignment horizontal="center" wrapText="1"/>
      <protection/>
    </xf>
    <xf numFmtId="170" fontId="17" fillId="3" borderId="4" xfId="22" applyFont="1" applyFill="1" applyBorder="1" applyAlignment="1">
      <alignment horizontal="center" wrapText="1"/>
      <protection/>
    </xf>
    <xf numFmtId="170" fontId="20" fillId="2" borderId="0" xfId="22" applyFont="1" applyAlignment="1">
      <alignment horizontal="right"/>
      <protection/>
    </xf>
    <xf numFmtId="170" fontId="20" fillId="2" borderId="0" xfId="22" applyFont="1" applyFill="1" applyAlignment="1">
      <alignment horizontal="right"/>
      <protection/>
    </xf>
    <xf numFmtId="170" fontId="21" fillId="2" borderId="0" xfId="22" applyFont="1" applyFill="1" applyAlignment="1">
      <alignment horizontal="right"/>
      <protection/>
    </xf>
    <xf numFmtId="170" fontId="21" fillId="3" borderId="0" xfId="22" applyFont="1" applyFill="1" applyAlignment="1">
      <alignment horizontal="right"/>
      <protection/>
    </xf>
    <xf numFmtId="170" fontId="20" fillId="3" borderId="0" xfId="22" applyFont="1" applyFill="1" applyAlignment="1">
      <alignment horizontal="right"/>
      <protection/>
    </xf>
    <xf numFmtId="170" fontId="13" fillId="2" borderId="0" xfId="22" applyFont="1">
      <alignment/>
      <protection/>
    </xf>
    <xf numFmtId="170" fontId="13" fillId="2" borderId="0" xfId="22" applyFont="1" applyFill="1">
      <alignment/>
      <protection/>
    </xf>
    <xf numFmtId="38" fontId="13" fillId="2" borderId="0" xfId="17" applyNumberFormat="1" applyFont="1" applyFill="1" applyAlignment="1">
      <alignment/>
    </xf>
    <xf numFmtId="170" fontId="13" fillId="3" borderId="0" xfId="22" applyFont="1" applyFill="1">
      <alignment/>
      <protection/>
    </xf>
    <xf numFmtId="170" fontId="22" fillId="2" borderId="0" xfId="22" applyFont="1" applyFill="1" applyAlignment="1">
      <alignment horizontal="right"/>
      <protection/>
    </xf>
    <xf numFmtId="0" fontId="24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wrapText="1"/>
    </xf>
    <xf numFmtId="40" fontId="25" fillId="0" borderId="5" xfId="0" applyNumberFormat="1" applyFont="1" applyBorder="1" applyAlignment="1">
      <alignment wrapText="1"/>
    </xf>
    <xf numFmtId="40" fontId="0" fillId="0" borderId="0" xfId="0" applyNumberForma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0" fontId="27" fillId="2" borderId="0" xfId="22" applyFont="1">
      <alignment/>
      <protection/>
    </xf>
    <xf numFmtId="170" fontId="28" fillId="2" borderId="0" xfId="22" applyFont="1" applyAlignment="1">
      <alignment horizontal="left"/>
      <protection/>
    </xf>
    <xf numFmtId="170" fontId="29" fillId="2" borderId="0" xfId="22" applyFont="1">
      <alignment/>
      <protection/>
    </xf>
    <xf numFmtId="170" fontId="29" fillId="2" borderId="0" xfId="22" applyFont="1" applyFill="1" applyAlignment="1">
      <alignment horizontal="left"/>
      <protection/>
    </xf>
    <xf numFmtId="38" fontId="29" fillId="2" borderId="0" xfId="17" applyNumberFormat="1" applyFont="1" applyFill="1" applyAlignment="1">
      <alignment horizontal="left"/>
    </xf>
    <xf numFmtId="170" fontId="29" fillId="3" borderId="0" xfId="22" applyFont="1" applyFill="1" applyAlignment="1">
      <alignment horizontal="left"/>
      <protection/>
    </xf>
    <xf numFmtId="170" fontId="29" fillId="2" borderId="0" xfId="22" applyFont="1" applyAlignment="1">
      <alignment horizontal="left"/>
      <protection/>
    </xf>
    <xf numFmtId="170" fontId="29" fillId="3" borderId="0" xfId="22" applyFont="1" applyFill="1">
      <alignment/>
      <protection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 quotePrefix="1">
      <alignment/>
    </xf>
  </cellXfs>
  <cellStyles count="10">
    <cellStyle name="Normal" xfId="0"/>
    <cellStyle name="Comma" xfId="15"/>
    <cellStyle name="Comma [0]" xfId="16"/>
    <cellStyle name="Comma_DeptQ_Acct by Per" xfId="17"/>
    <cellStyle name="Currency" xfId="18"/>
    <cellStyle name="Currency [0]" xfId="19"/>
    <cellStyle name="Followed Hyperlink" xfId="20"/>
    <cellStyle name="Hyperlink" xfId="21"/>
    <cellStyle name="Normal_DeptQ_Acct by Pe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workbookViewId="0" topLeftCell="A1">
      <pane xSplit="5" ySplit="13" topLeftCell="H14" activePane="bottomRight" state="frozen"/>
      <selection pane="topLeft" activeCell="B2" sqref="B2"/>
      <selection pane="topRight" activeCell="F2" sqref="F2"/>
      <selection pane="bottomLeft" activeCell="B9" sqref="B9"/>
      <selection pane="bottomRight" activeCell="B3" sqref="B3"/>
    </sheetView>
  </sheetViews>
  <sheetFormatPr defaultColWidth="9.140625" defaultRowHeight="12.75" outlineLevelRow="1"/>
  <cols>
    <col min="1" max="1" width="9.140625" style="0" hidden="1" customWidth="1"/>
    <col min="2" max="2" width="6.7109375" style="0" customWidth="1"/>
    <col min="3" max="3" width="1.421875" style="0" customWidth="1"/>
    <col min="4" max="4" width="10.57421875" style="0" customWidth="1"/>
    <col min="5" max="5" width="60.7109375" style="0" customWidth="1"/>
    <col min="6" max="6" width="1.57421875" style="0" customWidth="1"/>
    <col min="7" max="7" width="14.28125" style="15" customWidth="1"/>
    <col min="8" max="8" width="14.00390625" style="15" customWidth="1"/>
    <col min="9" max="9" width="14.28125" style="15" customWidth="1"/>
    <col min="10" max="10" width="3.140625" style="7" customWidth="1"/>
    <col min="11" max="11" width="14.8515625" style="15" customWidth="1"/>
    <col min="12" max="12" width="16.140625" style="15" customWidth="1"/>
    <col min="13" max="13" width="16.28125" style="15" customWidth="1"/>
    <col min="14" max="14" width="15.8515625" style="15" customWidth="1"/>
  </cols>
  <sheetData>
    <row r="1" spans="1:14" ht="12.75" hidden="1">
      <c r="A1" t="s">
        <v>21</v>
      </c>
      <c r="D1" t="s">
        <v>14</v>
      </c>
      <c r="E1" t="s">
        <v>15</v>
      </c>
      <c r="G1" s="15" t="s">
        <v>22</v>
      </c>
      <c r="H1" s="15" t="s">
        <v>19</v>
      </c>
      <c r="I1" s="15" t="s">
        <v>16</v>
      </c>
      <c r="L1" s="15" t="s">
        <v>17</v>
      </c>
      <c r="M1" s="15" t="s">
        <v>18</v>
      </c>
      <c r="N1" s="15" t="s">
        <v>19</v>
      </c>
    </row>
    <row r="2" spans="2:14" s="70" customFormat="1" ht="25.5">
      <c r="B2" s="83" t="s">
        <v>185</v>
      </c>
      <c r="G2" s="71"/>
      <c r="H2" s="71"/>
      <c r="I2" s="71"/>
      <c r="J2" s="72"/>
      <c r="K2" s="71"/>
      <c r="L2" s="71"/>
      <c r="M2" s="71"/>
      <c r="N2" s="71"/>
    </row>
    <row r="5" spans="5:14" ht="15.75">
      <c r="E5" s="4" t="s">
        <v>0</v>
      </c>
      <c r="F5" s="4"/>
      <c r="M5" s="19" t="s">
        <v>5</v>
      </c>
      <c r="N5" s="21" t="s">
        <v>123</v>
      </c>
    </row>
    <row r="6" spans="5:14" ht="15.75">
      <c r="E6" s="4" t="s">
        <v>1</v>
      </c>
      <c r="F6" s="1"/>
      <c r="M6" s="19" t="s">
        <v>6</v>
      </c>
      <c r="N6" s="21" t="s">
        <v>124</v>
      </c>
    </row>
    <row r="7" spans="13:14" ht="12.75">
      <c r="M7" s="19" t="s">
        <v>7</v>
      </c>
      <c r="N7" s="22">
        <f>NvsEndTime</f>
        <v>38331.44851851852</v>
      </c>
    </row>
    <row r="8" spans="5:8" ht="15.75">
      <c r="E8" s="10" t="s">
        <v>20</v>
      </c>
      <c r="F8" s="3"/>
      <c r="G8" s="11" t="s">
        <v>125</v>
      </c>
      <c r="H8" s="20" t="s">
        <v>126</v>
      </c>
    </row>
    <row r="9" spans="5:8" ht="15.75">
      <c r="E9" s="10" t="s">
        <v>2</v>
      </c>
      <c r="F9" s="3"/>
      <c r="G9" s="11" t="s">
        <v>127</v>
      </c>
      <c r="H9" s="20" t="s">
        <v>128</v>
      </c>
    </row>
    <row r="10" spans="5:7" ht="15.75">
      <c r="E10" s="10" t="s">
        <v>3</v>
      </c>
      <c r="F10" s="3"/>
      <c r="G10" s="20" t="s">
        <v>4</v>
      </c>
    </row>
    <row r="11" spans="5:7" ht="15.75">
      <c r="E11" s="10" t="s">
        <v>23</v>
      </c>
      <c r="F11" s="3"/>
      <c r="G11" s="20" t="s">
        <v>24</v>
      </c>
    </row>
    <row r="12" spans="5:14" ht="15.75">
      <c r="E12" s="10"/>
      <c r="F12" s="3"/>
      <c r="G12" s="23"/>
      <c r="H12" s="23"/>
      <c r="I12" s="23"/>
      <c r="K12" s="23"/>
      <c r="L12" s="23"/>
      <c r="M12" s="23"/>
      <c r="N12" s="23"/>
    </row>
    <row r="13" spans="4:14" s="2" customFormat="1" ht="46.5" customHeight="1">
      <c r="D13" s="12" t="s">
        <v>8</v>
      </c>
      <c r="E13" s="12" t="s">
        <v>9</v>
      </c>
      <c r="F13" s="5"/>
      <c r="G13" s="16" t="s">
        <v>30</v>
      </c>
      <c r="H13" s="16" t="s">
        <v>31</v>
      </c>
      <c r="I13" s="16" t="s">
        <v>32</v>
      </c>
      <c r="J13" s="8"/>
      <c r="K13" s="16" t="s">
        <v>10</v>
      </c>
      <c r="L13" s="16" t="s">
        <v>11</v>
      </c>
      <c r="M13" s="16" t="s">
        <v>12</v>
      </c>
      <c r="N13" s="16" t="s">
        <v>13</v>
      </c>
    </row>
    <row r="14" spans="2:14" ht="12.75">
      <c r="B14" s="6"/>
      <c r="C14" s="6"/>
      <c r="D14" s="6"/>
      <c r="E14" s="6"/>
      <c r="F14" s="6"/>
      <c r="G14" s="17"/>
      <c r="H14" s="17"/>
      <c r="I14" s="17"/>
      <c r="J14" s="9"/>
      <c r="K14" s="17"/>
      <c r="L14" s="17"/>
      <c r="M14" s="17"/>
      <c r="N14" s="17"/>
    </row>
    <row r="16" spans="1:14" ht="12.75" outlineLevel="1">
      <c r="A16" t="s">
        <v>33</v>
      </c>
      <c r="D16" t="s">
        <v>63</v>
      </c>
      <c r="E16" t="s">
        <v>64</v>
      </c>
      <c r="G16" s="15">
        <v>184236</v>
      </c>
      <c r="H16" s="15">
        <f aca="true" t="shared" si="0" ref="H16:H21">I16-G16</f>
        <v>0</v>
      </c>
      <c r="I16" s="15">
        <v>184236</v>
      </c>
      <c r="L16" s="15">
        <v>0</v>
      </c>
      <c r="M16" s="15">
        <v>63528</v>
      </c>
      <c r="N16" s="15">
        <f aca="true" t="shared" si="1" ref="N16:N21">I16-L16-M16</f>
        <v>120708</v>
      </c>
    </row>
    <row r="17" spans="1:14" ht="12.75" outlineLevel="1">
      <c r="A17" t="s">
        <v>34</v>
      </c>
      <c r="D17" t="s">
        <v>65</v>
      </c>
      <c r="E17" t="s">
        <v>66</v>
      </c>
      <c r="G17" s="15">
        <v>1414980</v>
      </c>
      <c r="H17" s="15">
        <f t="shared" si="0"/>
        <v>26262</v>
      </c>
      <c r="I17" s="15">
        <v>1441242</v>
      </c>
      <c r="L17" s="15">
        <v>0</v>
      </c>
      <c r="M17" s="15">
        <v>447498</v>
      </c>
      <c r="N17" s="15">
        <f t="shared" si="1"/>
        <v>993744</v>
      </c>
    </row>
    <row r="18" spans="1:14" ht="12.75" outlineLevel="1">
      <c r="A18" t="s">
        <v>35</v>
      </c>
      <c r="D18" t="s">
        <v>67</v>
      </c>
      <c r="E18" t="s">
        <v>68</v>
      </c>
      <c r="G18" s="15">
        <v>0</v>
      </c>
      <c r="H18" s="15">
        <f t="shared" si="0"/>
        <v>0</v>
      </c>
      <c r="I18" s="15">
        <v>0</v>
      </c>
      <c r="L18" s="15">
        <v>0</v>
      </c>
      <c r="M18" s="15">
        <v>2830.12</v>
      </c>
      <c r="N18" s="15">
        <f t="shared" si="1"/>
        <v>-2830.12</v>
      </c>
    </row>
    <row r="19" spans="1:14" ht="12.75" outlineLevel="1">
      <c r="A19" t="s">
        <v>36</v>
      </c>
      <c r="D19" t="s">
        <v>69</v>
      </c>
      <c r="E19" t="s">
        <v>70</v>
      </c>
      <c r="G19" s="15">
        <v>10000</v>
      </c>
      <c r="H19" s="15">
        <f t="shared" si="0"/>
        <v>0</v>
      </c>
      <c r="I19" s="15">
        <v>10000</v>
      </c>
      <c r="L19" s="15">
        <v>0</v>
      </c>
      <c r="M19" s="15">
        <v>3085.51</v>
      </c>
      <c r="N19" s="15">
        <f t="shared" si="1"/>
        <v>6914.49</v>
      </c>
    </row>
    <row r="20" spans="1:14" ht="12.75" outlineLevel="1">
      <c r="A20" t="s">
        <v>37</v>
      </c>
      <c r="D20" t="s">
        <v>71</v>
      </c>
      <c r="E20" t="s">
        <v>72</v>
      </c>
      <c r="G20" s="15">
        <v>0</v>
      </c>
      <c r="H20" s="15">
        <f t="shared" si="0"/>
        <v>0</v>
      </c>
      <c r="I20" s="15">
        <v>0</v>
      </c>
      <c r="L20" s="15">
        <v>0</v>
      </c>
      <c r="M20" s="15">
        <v>15216.86</v>
      </c>
      <c r="N20" s="15">
        <f t="shared" si="1"/>
        <v>-15216.86</v>
      </c>
    </row>
    <row r="21" spans="1:14" s="10" customFormat="1" ht="15.75">
      <c r="A21" s="10" t="s">
        <v>27</v>
      </c>
      <c r="B21" s="13"/>
      <c r="C21" s="13"/>
      <c r="D21" s="13"/>
      <c r="E21" s="13" t="s">
        <v>26</v>
      </c>
      <c r="F21" s="13"/>
      <c r="G21" s="18">
        <v>1609216</v>
      </c>
      <c r="H21" s="18">
        <f t="shared" si="0"/>
        <v>26262</v>
      </c>
      <c r="I21" s="18">
        <v>1635478</v>
      </c>
      <c r="J21" s="14"/>
      <c r="K21" s="18"/>
      <c r="L21" s="18">
        <v>0</v>
      </c>
      <c r="M21" s="18">
        <v>532158.49</v>
      </c>
      <c r="N21" s="18">
        <f t="shared" si="1"/>
        <v>1103319.51</v>
      </c>
    </row>
    <row r="25" spans="1:14" ht="12.75" outlineLevel="1">
      <c r="A25" t="s">
        <v>38</v>
      </c>
      <c r="D25" t="s">
        <v>73</v>
      </c>
      <c r="E25" t="s">
        <v>74</v>
      </c>
      <c r="G25" s="15">
        <v>1500</v>
      </c>
      <c r="H25" s="15">
        <f aca="true" t="shared" si="2" ref="H25:H49">I25-G25</f>
        <v>0</v>
      </c>
      <c r="I25" s="15">
        <v>1500</v>
      </c>
      <c r="L25" s="15">
        <v>0</v>
      </c>
      <c r="M25" s="15">
        <v>1716.3</v>
      </c>
      <c r="N25" s="15">
        <f aca="true" t="shared" si="3" ref="N25:N49">I25-L25-M25</f>
        <v>-216.29999999999995</v>
      </c>
    </row>
    <row r="26" spans="1:14" ht="12.75" outlineLevel="1">
      <c r="A26" t="s">
        <v>39</v>
      </c>
      <c r="D26" t="s">
        <v>75</v>
      </c>
      <c r="E26" t="s">
        <v>76</v>
      </c>
      <c r="G26" s="15">
        <v>149000</v>
      </c>
      <c r="H26" s="15">
        <f t="shared" si="2"/>
        <v>0</v>
      </c>
      <c r="I26" s="15">
        <v>149000</v>
      </c>
      <c r="L26" s="15">
        <v>984.6</v>
      </c>
      <c r="M26" s="15">
        <v>9125.3</v>
      </c>
      <c r="N26" s="15">
        <f t="shared" si="3"/>
        <v>138890.1</v>
      </c>
    </row>
    <row r="27" spans="1:14" ht="12.75" outlineLevel="1">
      <c r="A27" t="s">
        <v>40</v>
      </c>
      <c r="D27" t="s">
        <v>77</v>
      </c>
      <c r="E27" t="s">
        <v>78</v>
      </c>
      <c r="G27" s="15">
        <v>2500</v>
      </c>
      <c r="H27" s="15">
        <f t="shared" si="2"/>
        <v>0</v>
      </c>
      <c r="I27" s="15">
        <v>2500</v>
      </c>
      <c r="L27" s="15">
        <v>831.72</v>
      </c>
      <c r="M27" s="15">
        <v>970.91</v>
      </c>
      <c r="N27" s="15">
        <f t="shared" si="3"/>
        <v>697.37</v>
      </c>
    </row>
    <row r="28" spans="1:14" ht="12.75" outlineLevel="1">
      <c r="A28" t="s">
        <v>41</v>
      </c>
      <c r="D28" t="s">
        <v>79</v>
      </c>
      <c r="E28" t="s">
        <v>80</v>
      </c>
      <c r="G28" s="15">
        <v>0</v>
      </c>
      <c r="H28" s="15">
        <f t="shared" si="2"/>
        <v>0</v>
      </c>
      <c r="I28" s="15">
        <v>0</v>
      </c>
      <c r="L28" s="15">
        <v>0</v>
      </c>
      <c r="M28" s="15">
        <v>-30</v>
      </c>
      <c r="N28" s="15">
        <f t="shared" si="3"/>
        <v>30</v>
      </c>
    </row>
    <row r="29" spans="1:14" ht="12.75" outlineLevel="1">
      <c r="A29" t="s">
        <v>42</v>
      </c>
      <c r="D29" t="s">
        <v>81</v>
      </c>
      <c r="E29" t="s">
        <v>82</v>
      </c>
      <c r="G29" s="15">
        <v>0</v>
      </c>
      <c r="H29" s="15">
        <f t="shared" si="2"/>
        <v>0</v>
      </c>
      <c r="I29" s="15">
        <v>0</v>
      </c>
      <c r="L29" s="15">
        <v>0</v>
      </c>
      <c r="M29" s="15">
        <v>2030.33</v>
      </c>
      <c r="N29" s="15">
        <f t="shared" si="3"/>
        <v>-2030.33</v>
      </c>
    </row>
    <row r="30" spans="1:14" ht="12.75" outlineLevel="1">
      <c r="A30" t="s">
        <v>43</v>
      </c>
      <c r="D30" t="s">
        <v>83</v>
      </c>
      <c r="E30" t="s">
        <v>84</v>
      </c>
      <c r="G30" s="15">
        <v>8500</v>
      </c>
      <c r="H30" s="15">
        <f t="shared" si="2"/>
        <v>0</v>
      </c>
      <c r="I30" s="15">
        <v>8500</v>
      </c>
      <c r="L30" s="15">
        <v>0</v>
      </c>
      <c r="M30" s="15">
        <v>1166.4</v>
      </c>
      <c r="N30" s="15">
        <f t="shared" si="3"/>
        <v>7333.6</v>
      </c>
    </row>
    <row r="31" spans="1:14" ht="12.75" outlineLevel="1">
      <c r="A31" t="s">
        <v>44</v>
      </c>
      <c r="D31" t="s">
        <v>85</v>
      </c>
      <c r="E31" t="s">
        <v>86</v>
      </c>
      <c r="G31" s="15">
        <v>3000</v>
      </c>
      <c r="H31" s="15">
        <f t="shared" si="2"/>
        <v>0</v>
      </c>
      <c r="I31" s="15">
        <v>3000</v>
      </c>
      <c r="L31" s="15">
        <v>0</v>
      </c>
      <c r="M31" s="15">
        <v>1394.44</v>
      </c>
      <c r="N31" s="15">
        <f t="shared" si="3"/>
        <v>1605.56</v>
      </c>
    </row>
    <row r="32" spans="1:14" ht="12.75" outlineLevel="1">
      <c r="A32" t="s">
        <v>45</v>
      </c>
      <c r="D32" t="s">
        <v>87</v>
      </c>
      <c r="E32" t="s">
        <v>88</v>
      </c>
      <c r="G32" s="15">
        <v>0</v>
      </c>
      <c r="H32" s="15">
        <f t="shared" si="2"/>
        <v>0</v>
      </c>
      <c r="I32" s="15">
        <v>0</v>
      </c>
      <c r="L32" s="15">
        <v>0</v>
      </c>
      <c r="M32" s="15">
        <v>239.91</v>
      </c>
      <c r="N32" s="15">
        <f t="shared" si="3"/>
        <v>-239.91</v>
      </c>
    </row>
    <row r="33" spans="1:14" ht="12.75" outlineLevel="1">
      <c r="A33" t="s">
        <v>46</v>
      </c>
      <c r="D33" t="s">
        <v>89</v>
      </c>
      <c r="E33" t="s">
        <v>90</v>
      </c>
      <c r="G33" s="15">
        <v>0</v>
      </c>
      <c r="H33" s="15">
        <f t="shared" si="2"/>
        <v>0</v>
      </c>
      <c r="I33" s="15">
        <v>0</v>
      </c>
      <c r="L33" s="15">
        <v>0</v>
      </c>
      <c r="M33" s="15">
        <v>107.45</v>
      </c>
      <c r="N33" s="15">
        <f t="shared" si="3"/>
        <v>-107.45</v>
      </c>
    </row>
    <row r="34" spans="1:14" ht="12.75" outlineLevel="1">
      <c r="A34" t="s">
        <v>47</v>
      </c>
      <c r="D34" t="s">
        <v>91</v>
      </c>
      <c r="E34" t="s">
        <v>92</v>
      </c>
      <c r="G34" s="15">
        <v>0</v>
      </c>
      <c r="H34" s="15">
        <f t="shared" si="2"/>
        <v>0</v>
      </c>
      <c r="I34" s="15">
        <v>0</v>
      </c>
      <c r="L34" s="15">
        <v>0</v>
      </c>
      <c r="M34" s="15">
        <v>221.66</v>
      </c>
      <c r="N34" s="15">
        <f t="shared" si="3"/>
        <v>-221.66</v>
      </c>
    </row>
    <row r="35" spans="1:14" ht="12.75" outlineLevel="1">
      <c r="A35" t="s">
        <v>48</v>
      </c>
      <c r="D35" t="s">
        <v>93</v>
      </c>
      <c r="E35" t="s">
        <v>94</v>
      </c>
      <c r="G35" s="15">
        <v>1500</v>
      </c>
      <c r="H35" s="15">
        <f t="shared" si="2"/>
        <v>0</v>
      </c>
      <c r="I35" s="15">
        <v>1500</v>
      </c>
      <c r="L35" s="15">
        <v>3603.19</v>
      </c>
      <c r="M35" s="15">
        <v>11345.77</v>
      </c>
      <c r="N35" s="15">
        <f t="shared" si="3"/>
        <v>-13448.960000000001</v>
      </c>
    </row>
    <row r="36" spans="1:14" ht="12.75" outlineLevel="1">
      <c r="A36" t="s">
        <v>49</v>
      </c>
      <c r="D36" t="s">
        <v>95</v>
      </c>
      <c r="E36" t="s">
        <v>96</v>
      </c>
      <c r="G36" s="15">
        <v>2500</v>
      </c>
      <c r="H36" s="15">
        <f t="shared" si="2"/>
        <v>0</v>
      </c>
      <c r="I36" s="15">
        <v>2500</v>
      </c>
      <c r="L36" s="15">
        <v>0</v>
      </c>
      <c r="M36" s="15">
        <v>0</v>
      </c>
      <c r="N36" s="15">
        <f t="shared" si="3"/>
        <v>2500</v>
      </c>
    </row>
    <row r="37" spans="1:14" ht="12.75" outlineLevel="1">
      <c r="A37" t="s">
        <v>50</v>
      </c>
      <c r="D37" t="s">
        <v>97</v>
      </c>
      <c r="E37" t="s">
        <v>98</v>
      </c>
      <c r="G37" s="15">
        <v>12500</v>
      </c>
      <c r="H37" s="15">
        <f t="shared" si="2"/>
        <v>0</v>
      </c>
      <c r="I37" s="15">
        <v>12500</v>
      </c>
      <c r="L37" s="15">
        <v>0</v>
      </c>
      <c r="M37" s="15">
        <v>8525</v>
      </c>
      <c r="N37" s="15">
        <f t="shared" si="3"/>
        <v>3975</v>
      </c>
    </row>
    <row r="38" spans="1:14" ht="12.75" outlineLevel="1">
      <c r="A38" t="s">
        <v>51</v>
      </c>
      <c r="D38" t="s">
        <v>99</v>
      </c>
      <c r="E38" t="s">
        <v>100</v>
      </c>
      <c r="G38" s="15">
        <v>7513</v>
      </c>
      <c r="H38" s="15">
        <f t="shared" si="2"/>
        <v>0</v>
      </c>
      <c r="I38" s="15">
        <v>7513</v>
      </c>
      <c r="L38" s="15">
        <v>3603.03</v>
      </c>
      <c r="M38" s="15">
        <v>215.75</v>
      </c>
      <c r="N38" s="15">
        <f t="shared" si="3"/>
        <v>3694.22</v>
      </c>
    </row>
    <row r="39" spans="1:14" ht="12.75" outlineLevel="1">
      <c r="A39" t="s">
        <v>52</v>
      </c>
      <c r="D39" t="s">
        <v>101</v>
      </c>
      <c r="E39" t="s">
        <v>102</v>
      </c>
      <c r="G39" s="15">
        <v>2000</v>
      </c>
      <c r="H39" s="15">
        <f t="shared" si="2"/>
        <v>0</v>
      </c>
      <c r="I39" s="15">
        <v>2000</v>
      </c>
      <c r="L39" s="15">
        <v>0</v>
      </c>
      <c r="M39" s="15">
        <v>2982.63</v>
      </c>
      <c r="N39" s="15">
        <f t="shared" si="3"/>
        <v>-982.6300000000001</v>
      </c>
    </row>
    <row r="40" spans="1:14" ht="12.75" outlineLevel="1">
      <c r="A40" t="s">
        <v>53</v>
      </c>
      <c r="D40" t="s">
        <v>103</v>
      </c>
      <c r="E40" t="s">
        <v>104</v>
      </c>
      <c r="G40" s="15">
        <v>5000</v>
      </c>
      <c r="H40" s="15">
        <f t="shared" si="2"/>
        <v>0</v>
      </c>
      <c r="I40" s="15">
        <v>5000</v>
      </c>
      <c r="L40" s="15">
        <v>0</v>
      </c>
      <c r="M40" s="15">
        <v>9265.96</v>
      </c>
      <c r="N40" s="15">
        <f t="shared" si="3"/>
        <v>-4265.959999999999</v>
      </c>
    </row>
    <row r="41" spans="1:14" ht="12.75" outlineLevel="1">
      <c r="A41" t="s">
        <v>54</v>
      </c>
      <c r="D41" t="s">
        <v>105</v>
      </c>
      <c r="E41" t="s">
        <v>106</v>
      </c>
      <c r="G41" s="15">
        <v>25000</v>
      </c>
      <c r="H41" s="15">
        <f t="shared" si="2"/>
        <v>0</v>
      </c>
      <c r="I41" s="15">
        <v>25000</v>
      </c>
      <c r="L41" s="15">
        <v>81094</v>
      </c>
      <c r="M41" s="15">
        <v>99735.48</v>
      </c>
      <c r="N41" s="15">
        <f t="shared" si="3"/>
        <v>-155829.47999999998</v>
      </c>
    </row>
    <row r="42" spans="1:14" ht="12.75" outlineLevel="1">
      <c r="A42" t="s">
        <v>55</v>
      </c>
      <c r="D42" t="s">
        <v>107</v>
      </c>
      <c r="E42" t="s">
        <v>108</v>
      </c>
      <c r="G42" s="15">
        <v>0</v>
      </c>
      <c r="H42" s="15">
        <f t="shared" si="2"/>
        <v>0</v>
      </c>
      <c r="I42" s="15">
        <v>0</v>
      </c>
      <c r="L42" s="15">
        <v>258.13</v>
      </c>
      <c r="M42" s="15">
        <v>161.87</v>
      </c>
      <c r="N42" s="15">
        <f t="shared" si="3"/>
        <v>-420</v>
      </c>
    </row>
    <row r="43" spans="1:14" ht="12.75" outlineLevel="1">
      <c r="A43" t="s">
        <v>56</v>
      </c>
      <c r="D43" t="s">
        <v>109</v>
      </c>
      <c r="E43" t="s">
        <v>110</v>
      </c>
      <c r="G43" s="15">
        <v>1500</v>
      </c>
      <c r="H43" s="15">
        <f t="shared" si="2"/>
        <v>0</v>
      </c>
      <c r="I43" s="15">
        <v>1500</v>
      </c>
      <c r="L43" s="15">
        <v>1366.63</v>
      </c>
      <c r="M43" s="15">
        <v>482.65</v>
      </c>
      <c r="N43" s="15">
        <f t="shared" si="3"/>
        <v>-349.2800000000001</v>
      </c>
    </row>
    <row r="44" spans="1:14" ht="12.75" outlineLevel="1">
      <c r="A44" t="s">
        <v>57</v>
      </c>
      <c r="D44" t="s">
        <v>111</v>
      </c>
      <c r="E44" t="s">
        <v>112</v>
      </c>
      <c r="G44" s="15">
        <v>1500</v>
      </c>
      <c r="H44" s="15">
        <f t="shared" si="2"/>
        <v>0</v>
      </c>
      <c r="I44" s="15">
        <v>1500</v>
      </c>
      <c r="L44" s="15">
        <v>0</v>
      </c>
      <c r="M44" s="15">
        <v>332.72</v>
      </c>
      <c r="N44" s="15">
        <f t="shared" si="3"/>
        <v>1167.28</v>
      </c>
    </row>
    <row r="45" spans="1:14" ht="12.75" outlineLevel="1">
      <c r="A45" t="s">
        <v>58</v>
      </c>
      <c r="D45" t="s">
        <v>113</v>
      </c>
      <c r="E45" t="s">
        <v>114</v>
      </c>
      <c r="G45" s="15">
        <v>1000</v>
      </c>
      <c r="H45" s="15">
        <f t="shared" si="2"/>
        <v>0</v>
      </c>
      <c r="I45" s="15">
        <v>1000</v>
      </c>
      <c r="L45" s="15">
        <v>0</v>
      </c>
      <c r="M45" s="15">
        <v>1304.57</v>
      </c>
      <c r="N45" s="15">
        <f t="shared" si="3"/>
        <v>-304.56999999999994</v>
      </c>
    </row>
    <row r="46" spans="1:14" ht="12.75" outlineLevel="1">
      <c r="A46" t="s">
        <v>59</v>
      </c>
      <c r="D46" t="s">
        <v>115</v>
      </c>
      <c r="E46" t="s">
        <v>116</v>
      </c>
      <c r="G46" s="15">
        <v>500</v>
      </c>
      <c r="H46" s="15">
        <f t="shared" si="2"/>
        <v>0</v>
      </c>
      <c r="I46" s="15">
        <v>500</v>
      </c>
      <c r="L46" s="15">
        <v>0</v>
      </c>
      <c r="M46" s="15">
        <v>2746.53</v>
      </c>
      <c r="N46" s="15">
        <f t="shared" si="3"/>
        <v>-2246.53</v>
      </c>
    </row>
    <row r="47" spans="1:14" ht="12.75" outlineLevel="1">
      <c r="A47" t="s">
        <v>60</v>
      </c>
      <c r="D47" t="s">
        <v>117</v>
      </c>
      <c r="E47" t="s">
        <v>118</v>
      </c>
      <c r="G47" s="15">
        <v>1000</v>
      </c>
      <c r="H47" s="15">
        <f t="shared" si="2"/>
        <v>0</v>
      </c>
      <c r="I47" s="15">
        <v>1000</v>
      </c>
      <c r="L47" s="15">
        <v>300.3</v>
      </c>
      <c r="M47" s="15">
        <v>239.7</v>
      </c>
      <c r="N47" s="15">
        <f t="shared" si="3"/>
        <v>460.00000000000006</v>
      </c>
    </row>
    <row r="48" spans="1:14" ht="12.75" outlineLevel="1">
      <c r="A48" t="s">
        <v>61</v>
      </c>
      <c r="D48" t="s">
        <v>119</v>
      </c>
      <c r="E48" t="s">
        <v>120</v>
      </c>
      <c r="G48" s="15">
        <v>250</v>
      </c>
      <c r="H48" s="15">
        <f t="shared" si="2"/>
        <v>0</v>
      </c>
      <c r="I48" s="15">
        <v>250</v>
      </c>
      <c r="L48" s="15">
        <v>0</v>
      </c>
      <c r="M48" s="15">
        <v>46</v>
      </c>
      <c r="N48" s="15">
        <f t="shared" si="3"/>
        <v>204</v>
      </c>
    </row>
    <row r="49" spans="1:14" ht="12.75" outlineLevel="1">
      <c r="A49" t="s">
        <v>62</v>
      </c>
      <c r="D49" t="s">
        <v>121</v>
      </c>
      <c r="E49" t="s">
        <v>122</v>
      </c>
      <c r="G49" s="15">
        <v>0</v>
      </c>
      <c r="H49" s="15">
        <f t="shared" si="2"/>
        <v>307201</v>
      </c>
      <c r="I49" s="15">
        <v>307201</v>
      </c>
      <c r="L49" s="15">
        <v>0</v>
      </c>
      <c r="M49" s="15">
        <v>0</v>
      </c>
      <c r="N49" s="15">
        <f t="shared" si="3"/>
        <v>307201</v>
      </c>
    </row>
    <row r="50" spans="1:14" ht="15.75">
      <c r="A50" t="s">
        <v>28</v>
      </c>
      <c r="B50" s="13"/>
      <c r="C50" s="13"/>
      <c r="D50" s="13"/>
      <c r="E50" s="13" t="s">
        <v>25</v>
      </c>
      <c r="F50" s="13"/>
      <c r="G50" s="18">
        <v>226263</v>
      </c>
      <c r="H50" s="18">
        <f>I50-G50</f>
        <v>307201</v>
      </c>
      <c r="I50" s="18">
        <v>533464</v>
      </c>
      <c r="J50" s="14"/>
      <c r="K50" s="18"/>
      <c r="L50" s="18">
        <v>92041.6</v>
      </c>
      <c r="M50" s="18">
        <v>154327.33</v>
      </c>
      <c r="N50" s="18">
        <f>I50-L50-M50</f>
        <v>287095.07000000007</v>
      </c>
    </row>
    <row r="51" ht="12.75">
      <c r="L51" s="15" t="s">
        <v>182</v>
      </c>
    </row>
    <row r="52" ht="12.75">
      <c r="L52" s="15" t="s">
        <v>184</v>
      </c>
    </row>
    <row r="54" spans="2:14" s="10" customFormat="1" ht="15.75">
      <c r="B54" s="13"/>
      <c r="C54" s="13"/>
      <c r="D54" s="13"/>
      <c r="E54" s="13" t="s">
        <v>29</v>
      </c>
      <c r="F54" s="13"/>
      <c r="G54" s="18">
        <f>SUM(G21+G50)</f>
        <v>1835479</v>
      </c>
      <c r="H54" s="18">
        <f>SUM(H21+H50)</f>
        <v>333463</v>
      </c>
      <c r="I54" s="18">
        <f>SUM(I21+I50)</f>
        <v>2168942</v>
      </c>
      <c r="J54" s="14"/>
      <c r="K54" s="18">
        <f>SUM(K21+K50)</f>
        <v>0</v>
      </c>
      <c r="L54" s="18">
        <f>SUM(L21+L50)</f>
        <v>92041.6</v>
      </c>
      <c r="M54" s="18">
        <f>SUM(M21+M50)</f>
        <v>686485.82</v>
      </c>
      <c r="N54" s="18">
        <f>SUM(N21+N50)</f>
        <v>1390414.58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zoomScale="75" zoomScaleNormal="75" workbookViewId="0" topLeftCell="A1">
      <pane xSplit="5" ySplit="7" topLeftCell="Q8" activePane="bottomRight" state="frozen"/>
      <selection pane="topLeft" activeCell="B2" sqref="B2"/>
      <selection pane="topRight" activeCell="E2" sqref="E2"/>
      <selection pane="bottomLeft" activeCell="B8" sqref="B8"/>
      <selection pane="bottomRight" activeCell="R52" sqref="R52"/>
    </sheetView>
  </sheetViews>
  <sheetFormatPr defaultColWidth="9.140625" defaultRowHeight="12.75" outlineLevelRow="1" outlineLevelCol="1"/>
  <cols>
    <col min="1" max="1" width="0" style="31" hidden="1" customWidth="1"/>
    <col min="2" max="2" width="2.28125" style="31" customWidth="1"/>
    <col min="3" max="3" width="16.7109375" style="26" customWidth="1"/>
    <col min="4" max="4" width="1.57421875" style="26" customWidth="1"/>
    <col min="5" max="5" width="30.8515625" style="26" customWidth="1"/>
    <col min="6" max="6" width="1.7109375" style="27" customWidth="1"/>
    <col min="7" max="7" width="14.57421875" style="27" customWidth="1"/>
    <col min="8" max="8" width="1.7109375" style="27" customWidth="1"/>
    <col min="9" max="9" width="14.28125" style="28" customWidth="1"/>
    <col min="10" max="10" width="1.7109375" style="27" customWidth="1"/>
    <col min="11" max="11" width="14.7109375" style="31" customWidth="1" outlineLevel="1"/>
    <col min="12" max="12" width="14.7109375" style="27" customWidth="1"/>
    <col min="13" max="13" width="1.7109375" style="27" customWidth="1"/>
    <col min="14" max="14" width="16.7109375" style="27" customWidth="1"/>
    <col min="15" max="15" width="1.7109375" style="27" customWidth="1"/>
    <col min="16" max="21" width="15.7109375" style="31" customWidth="1" outlineLevel="1"/>
    <col min="22" max="22" width="15.7109375" style="30" customWidth="1"/>
    <col min="23" max="23" width="1.8515625" style="30" customWidth="1"/>
    <col min="24" max="29" width="14.57421875" style="31" customWidth="1" outlineLevel="1"/>
    <col min="30" max="30" width="14.57421875" style="27" customWidth="1"/>
    <col min="31" max="31" width="2.00390625" style="27" customWidth="1"/>
    <col min="32" max="32" width="16.421875" style="26" customWidth="1"/>
    <col min="33" max="16384" width="8.00390625" style="26" customWidth="1"/>
  </cols>
  <sheetData>
    <row r="1" spans="1:32" s="31" customFormat="1" ht="10.5" hidden="1">
      <c r="A1" s="24" t="s">
        <v>129</v>
      </c>
      <c r="B1" s="24"/>
      <c r="C1" s="25" t="s">
        <v>130</v>
      </c>
      <c r="D1" s="26"/>
      <c r="E1" s="25" t="s">
        <v>131</v>
      </c>
      <c r="F1" s="27"/>
      <c r="G1" s="27" t="s">
        <v>22</v>
      </c>
      <c r="H1" s="27"/>
      <c r="I1" s="28" t="s">
        <v>19</v>
      </c>
      <c r="J1" s="27"/>
      <c r="K1" s="24" t="s">
        <v>132</v>
      </c>
      <c r="L1" s="27" t="s">
        <v>133</v>
      </c>
      <c r="M1" s="29"/>
      <c r="N1" s="27"/>
      <c r="O1" s="27"/>
      <c r="P1" s="24" t="s">
        <v>132</v>
      </c>
      <c r="Q1" s="24" t="s">
        <v>134</v>
      </c>
      <c r="R1" s="24" t="s">
        <v>135</v>
      </c>
      <c r="S1" s="24" t="s">
        <v>136</v>
      </c>
      <c r="T1" s="24" t="s">
        <v>137</v>
      </c>
      <c r="U1" s="24" t="s">
        <v>138</v>
      </c>
      <c r="V1" s="30" t="s">
        <v>139</v>
      </c>
      <c r="W1" s="30"/>
      <c r="X1" s="24" t="s">
        <v>132</v>
      </c>
      <c r="Y1" s="24" t="s">
        <v>134</v>
      </c>
      <c r="Z1" s="24" t="s">
        <v>135</v>
      </c>
      <c r="AA1" s="24" t="s">
        <v>136</v>
      </c>
      <c r="AB1" s="24" t="s">
        <v>137</v>
      </c>
      <c r="AC1" s="24" t="s">
        <v>138</v>
      </c>
      <c r="AD1" s="27" t="s">
        <v>140</v>
      </c>
      <c r="AE1" s="29"/>
      <c r="AF1" s="26" t="s">
        <v>19</v>
      </c>
    </row>
    <row r="2" spans="1:31" s="31" customFormat="1" ht="10.5">
      <c r="A2" s="24"/>
      <c r="B2" s="24"/>
      <c r="C2" s="25"/>
      <c r="D2" s="26"/>
      <c r="E2" s="25"/>
      <c r="F2" s="27"/>
      <c r="G2" s="27"/>
      <c r="H2" s="27"/>
      <c r="I2" s="28"/>
      <c r="J2" s="27"/>
      <c r="K2" s="24"/>
      <c r="L2" s="27"/>
      <c r="M2" s="27"/>
      <c r="N2" s="27"/>
      <c r="O2" s="27"/>
      <c r="P2" s="24"/>
      <c r="Q2" s="24"/>
      <c r="R2" s="24"/>
      <c r="S2" s="24"/>
      <c r="T2" s="24"/>
      <c r="U2" s="24"/>
      <c r="V2" s="30"/>
      <c r="W2" s="30"/>
      <c r="X2" s="24"/>
      <c r="Y2" s="24"/>
      <c r="Z2" s="24"/>
      <c r="AA2" s="24"/>
      <c r="AB2" s="24"/>
      <c r="AC2" s="24"/>
      <c r="AD2" s="27"/>
      <c r="AE2" s="29"/>
    </row>
    <row r="3" spans="1:32" s="75" customFormat="1" ht="23.25">
      <c r="A3" s="73"/>
      <c r="B3" s="74" t="s">
        <v>141</v>
      </c>
      <c r="F3" s="76"/>
      <c r="G3" s="76"/>
      <c r="H3" s="76"/>
      <c r="I3" s="77"/>
      <c r="J3" s="76"/>
      <c r="K3" s="73"/>
      <c r="L3" s="76"/>
      <c r="M3" s="76"/>
      <c r="N3" s="76"/>
      <c r="O3" s="76"/>
      <c r="P3" s="73"/>
      <c r="Q3" s="73"/>
      <c r="R3" s="73"/>
      <c r="S3" s="73"/>
      <c r="T3" s="73"/>
      <c r="U3" s="73"/>
      <c r="V3" s="78"/>
      <c r="W3" s="78"/>
      <c r="X3" s="73"/>
      <c r="Y3" s="73"/>
      <c r="Z3" s="73"/>
      <c r="AA3" s="73"/>
      <c r="AB3" s="73"/>
      <c r="AC3" s="73"/>
      <c r="AD3" s="76"/>
      <c r="AE3" s="76"/>
      <c r="AF3" s="79"/>
    </row>
    <row r="4" spans="4:32" s="33" customFormat="1" ht="12.75" customHeight="1">
      <c r="D4" s="34"/>
      <c r="F4" s="35"/>
      <c r="G4" s="36"/>
      <c r="H4" s="35"/>
      <c r="I4" s="37"/>
      <c r="J4" s="35"/>
      <c r="L4" s="36"/>
      <c r="M4" s="35"/>
      <c r="N4" s="36"/>
      <c r="O4" s="35"/>
      <c r="V4" s="38"/>
      <c r="W4" s="39"/>
      <c r="AD4" s="36"/>
      <c r="AE4" s="35"/>
      <c r="AF4" s="32"/>
    </row>
    <row r="5" spans="6:32" s="40" customFormat="1" ht="15.75">
      <c r="F5" s="41"/>
      <c r="G5" s="42"/>
      <c r="H5" s="43"/>
      <c r="I5" s="42"/>
      <c r="J5" s="43"/>
      <c r="L5" s="44"/>
      <c r="M5" s="45"/>
      <c r="N5" s="44"/>
      <c r="O5" s="46"/>
      <c r="V5" s="44"/>
      <c r="W5" s="47"/>
      <c r="AD5" s="44"/>
      <c r="AE5" s="41"/>
      <c r="AF5" s="48"/>
    </row>
    <row r="6" spans="1:32" s="51" customFormat="1" ht="33.75" customHeight="1">
      <c r="A6" s="49" t="s">
        <v>142</v>
      </c>
      <c r="B6" s="49"/>
      <c r="C6" s="50" t="s">
        <v>8</v>
      </c>
      <c r="E6" s="50" t="s">
        <v>9</v>
      </c>
      <c r="F6" s="52"/>
      <c r="G6" s="53" t="s">
        <v>143</v>
      </c>
      <c r="H6" s="54"/>
      <c r="I6" s="53" t="s">
        <v>31</v>
      </c>
      <c r="J6" s="54"/>
      <c r="K6" s="49" t="s">
        <v>144</v>
      </c>
      <c r="L6" s="53" t="s">
        <v>145</v>
      </c>
      <c r="M6" s="52"/>
      <c r="N6" s="53" t="s">
        <v>146</v>
      </c>
      <c r="O6" s="54"/>
      <c r="P6" s="49" t="s">
        <v>144</v>
      </c>
      <c r="Q6" s="49" t="s">
        <v>147</v>
      </c>
      <c r="R6" s="49" t="s">
        <v>148</v>
      </c>
      <c r="S6" s="49" t="s">
        <v>149</v>
      </c>
      <c r="T6" s="49" t="s">
        <v>150</v>
      </c>
      <c r="U6" s="49" t="s">
        <v>151</v>
      </c>
      <c r="V6" s="53" t="s">
        <v>152</v>
      </c>
      <c r="W6" s="55"/>
      <c r="X6" s="49" t="s">
        <v>144</v>
      </c>
      <c r="Y6" s="49" t="s">
        <v>147</v>
      </c>
      <c r="Z6" s="49" t="s">
        <v>148</v>
      </c>
      <c r="AA6" s="49" t="s">
        <v>149</v>
      </c>
      <c r="AB6" s="49" t="s">
        <v>150</v>
      </c>
      <c r="AC6" s="49" t="s">
        <v>151</v>
      </c>
      <c r="AD6" s="53" t="s">
        <v>153</v>
      </c>
      <c r="AE6" s="52"/>
      <c r="AF6" s="53" t="s">
        <v>13</v>
      </c>
    </row>
    <row r="7" spans="1:31" s="56" customFormat="1" ht="12.75" customHeight="1">
      <c r="A7" s="56" t="s">
        <v>19</v>
      </c>
      <c r="F7" s="57"/>
      <c r="G7" s="58" t="e">
        <f>LOOKUP(ABS(RIGHT(G6,2)),{1,2,3,4,5,6,7,8,9,10,11,12;"July","August","September","October","November","December","January","February","March","April","May","June"})</f>
        <v>#VALUE!</v>
      </c>
      <c r="H7" s="58"/>
      <c r="I7" s="58" t="e">
        <f>LOOKUP(ABS(RIGHT(I6,2)),{1,2,3,4,5,6,7,8,9,10,11,12;"July","August","September","October","November","December","January","February","March","April","May","June"})</f>
        <v>#VALUE!</v>
      </c>
      <c r="J7" s="58"/>
      <c r="K7" s="56" t="str">
        <f>LOOKUP(ABS(RIGHT(K6,2)),{1,2,3,4,5,6,7,8,9,10,11,12;"July","August","September","October","November","December","January","February","March","April","May","June"})</f>
        <v>July</v>
      </c>
      <c r="L7" s="58" t="e">
        <f>LOOKUP(ABS(RIGHT(L6,2)),{1,2,3,4,5,6,7,8,9,10,11,12;"July","August","September","October","November","December","January","February","March","April","May","June"})</f>
        <v>#VALUE!</v>
      </c>
      <c r="M7" s="58"/>
      <c r="N7" s="58" t="e">
        <f>LOOKUP(ABS(RIGHT(N6,2)),{1,2,3,4,5,6,7,8,9,10,11,12;"July","August","September","October","November","December","January","February","March","April","May","June"})</f>
        <v>#VALUE!</v>
      </c>
      <c r="O7" s="57"/>
      <c r="P7" s="56" t="str">
        <f>LOOKUP(ABS(RIGHT(P6,2)),{1,2,3,4,5,6,7,8,9,10,11,12;"July","August","September","October","November","December","January","February","March","April","May","June"})</f>
        <v>July</v>
      </c>
      <c r="Q7" s="56" t="str">
        <f>LOOKUP(ABS(RIGHT(Q6,2)),{1,2,3,4,5,6,7,8,9,10,11,12;"July","August","September","October","November","December","January","February","March","April","May","June"})</f>
        <v>August</v>
      </c>
      <c r="R7" s="56" t="str">
        <f>LOOKUP(ABS(RIGHT(R6,2)),{1,2,3,4,5,6,7,8,9,10,11,12;"July","August","September","October","November","December","January","February","March","April","May","June"})</f>
        <v>September</v>
      </c>
      <c r="S7" s="56" t="str">
        <f>LOOKUP(ABS(RIGHT(S6,2)),{1,2,3,4,5,6,7,8,9,10,11,12;"July","August","September","October","November","December","January","February","March","April","May","June"})</f>
        <v>October</v>
      </c>
      <c r="T7" s="56" t="str">
        <f>LOOKUP(ABS(RIGHT(T6,2)),{1,2,3,4,5,6,7,8,9,10,11,12;"July","August","September","October","November","December","January","February","March","April","May","June"})</f>
        <v>November</v>
      </c>
      <c r="U7" s="56" t="str">
        <f>LOOKUP(ABS(RIGHT(U6,2)),{1,2,3,4,5,6,7,8,9,10,11,12;"July","August","September","October","November","December","January","February","March","April","May","June"})</f>
        <v>December</v>
      </c>
      <c r="V7" s="59" t="e">
        <f>LOOKUP(ABS(RIGHT(V6,2)),{1,2,3,4,5,6,7,8,9,10,11,12;"July","August","September","October","November","December","January","February","March","April","May","June"})</f>
        <v>#VALUE!</v>
      </c>
      <c r="W7" s="60"/>
      <c r="X7" s="56" t="str">
        <f>LOOKUP(ABS(RIGHT(X6,2)),{1,2,3,4,5,6,7,8,9,10,11,12;"July","August","September","October","November","December","January","February","March","April","May","June"})</f>
        <v>July</v>
      </c>
      <c r="Y7" s="56" t="str">
        <f>LOOKUP(ABS(RIGHT(Y6,2)),{1,2,3,4,5,6,7,8,9,10,11,12;"July","August","September","October","November","December","January","February","March","April","May","June"})</f>
        <v>August</v>
      </c>
      <c r="Z7" s="56" t="str">
        <f>LOOKUP(ABS(RIGHT(Z6,2)),{1,2,3,4,5,6,7,8,9,10,11,12;"July","August","September","October","November","December","January","February","March","April","May","June"})</f>
        <v>September</v>
      </c>
      <c r="AA7" s="56" t="str">
        <f>LOOKUP(ABS(RIGHT(AA6,2)),{1,2,3,4,5,6,7,8,9,10,11,12;"July","August","September","October","November","December","January","February","March","April","May","June"})</f>
        <v>October</v>
      </c>
      <c r="AB7" s="56" t="str">
        <f>LOOKUP(ABS(RIGHT(AB6,2)),{1,2,3,4,5,6,7,8,9,10,11,12;"July","August","September","October","November","December","January","February","March","April","May","June"})</f>
        <v>November</v>
      </c>
      <c r="AC7" s="56" t="str">
        <f>LOOKUP(ABS(RIGHT(AC6,2)),{1,2,3,4,5,6,7,8,9,10,11,12;"July","August","September","October","November","December","January","February","March","April","May","June"})</f>
        <v>December</v>
      </c>
      <c r="AD7" s="59" t="e">
        <f>LOOKUP(ABS(RIGHT(AD6,2)),{1,2,3,4,5,6,7,8,9,10,11,12;"July","August","September","October","November","December","January","February","March","April","May","June"})</f>
        <v>#VALUE!</v>
      </c>
      <c r="AE7" s="57"/>
    </row>
    <row r="8" spans="1:32" s="31" customFormat="1" ht="10.5" outlineLevel="1">
      <c r="A8" s="24" t="s">
        <v>38</v>
      </c>
      <c r="B8" s="24"/>
      <c r="C8" s="25" t="s">
        <v>73</v>
      </c>
      <c r="D8" s="26"/>
      <c r="E8" s="25" t="s">
        <v>74</v>
      </c>
      <c r="F8" s="27"/>
      <c r="G8" s="27">
        <v>1500</v>
      </c>
      <c r="H8" s="27"/>
      <c r="I8" s="28">
        <f aca="true" t="shared" si="0" ref="I8:I32">+L8-G8</f>
        <v>0</v>
      </c>
      <c r="J8" s="27"/>
      <c r="K8" s="24">
        <v>1500</v>
      </c>
      <c r="L8" s="27">
        <v>1500</v>
      </c>
      <c r="M8" s="29"/>
      <c r="N8" s="27"/>
      <c r="O8" s="27"/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30">
        <v>0</v>
      </c>
      <c r="W8" s="30"/>
      <c r="X8" s="24">
        <v>0</v>
      </c>
      <c r="Y8" s="24">
        <v>0</v>
      </c>
      <c r="Z8" s="24">
        <v>1716.3</v>
      </c>
      <c r="AA8" s="24">
        <v>0</v>
      </c>
      <c r="AB8" s="24">
        <v>0</v>
      </c>
      <c r="AC8" s="24">
        <v>0</v>
      </c>
      <c r="AD8" s="27">
        <v>1716.3</v>
      </c>
      <c r="AE8" s="29"/>
      <c r="AF8" s="26">
        <f aca="true" t="shared" si="1" ref="AF8:AF32">+L8-N8-V8-AD8</f>
        <v>-216.29999999999995</v>
      </c>
    </row>
    <row r="9" spans="1:32" s="31" customFormat="1" ht="10.5" outlineLevel="1">
      <c r="A9" s="24" t="s">
        <v>39</v>
      </c>
      <c r="B9" s="24"/>
      <c r="C9" s="25" t="s">
        <v>75</v>
      </c>
      <c r="D9" s="26"/>
      <c r="E9" s="25" t="s">
        <v>76</v>
      </c>
      <c r="F9" s="27"/>
      <c r="G9" s="27">
        <v>149000</v>
      </c>
      <c r="H9" s="27"/>
      <c r="I9" s="28">
        <f t="shared" si="0"/>
        <v>0</v>
      </c>
      <c r="J9" s="27"/>
      <c r="K9" s="24">
        <v>149000</v>
      </c>
      <c r="L9" s="27">
        <v>149000</v>
      </c>
      <c r="M9" s="29"/>
      <c r="N9" s="27"/>
      <c r="O9" s="27"/>
      <c r="P9" s="24">
        <v>18390.54</v>
      </c>
      <c r="Q9" s="24">
        <v>-17526.47</v>
      </c>
      <c r="R9" s="24">
        <v>0</v>
      </c>
      <c r="S9" s="24">
        <v>69.67</v>
      </c>
      <c r="T9" s="24">
        <v>-933.74</v>
      </c>
      <c r="U9" s="24">
        <v>984.6</v>
      </c>
      <c r="V9" s="30">
        <v>984.6</v>
      </c>
      <c r="W9" s="30"/>
      <c r="X9" s="24">
        <v>0</v>
      </c>
      <c r="Y9" s="24">
        <v>17435.84</v>
      </c>
      <c r="Z9" s="24">
        <v>-10228.86</v>
      </c>
      <c r="AA9" s="24">
        <v>0</v>
      </c>
      <c r="AB9" s="24">
        <v>1918.32</v>
      </c>
      <c r="AC9" s="24">
        <v>0</v>
      </c>
      <c r="AD9" s="27">
        <v>9125.3</v>
      </c>
      <c r="AE9" s="29"/>
      <c r="AF9" s="26">
        <f t="shared" si="1"/>
        <v>138890.1</v>
      </c>
    </row>
    <row r="10" spans="1:32" s="31" customFormat="1" ht="10.5" outlineLevel="1">
      <c r="A10" s="24" t="s">
        <v>40</v>
      </c>
      <c r="B10" s="24"/>
      <c r="C10" s="25" t="s">
        <v>77</v>
      </c>
      <c r="D10" s="26"/>
      <c r="E10" s="25" t="s">
        <v>78</v>
      </c>
      <c r="F10" s="27"/>
      <c r="G10" s="27">
        <v>2500</v>
      </c>
      <c r="H10" s="27"/>
      <c r="I10" s="28">
        <f t="shared" si="0"/>
        <v>0</v>
      </c>
      <c r="J10" s="27"/>
      <c r="K10" s="24">
        <v>2500</v>
      </c>
      <c r="L10" s="27">
        <v>2500</v>
      </c>
      <c r="M10" s="29"/>
      <c r="N10" s="27"/>
      <c r="O10" s="27"/>
      <c r="P10" s="24">
        <v>1646.16</v>
      </c>
      <c r="Q10" s="24">
        <v>-407.22</v>
      </c>
      <c r="R10" s="24">
        <v>0</v>
      </c>
      <c r="S10" s="24">
        <v>-407.22</v>
      </c>
      <c r="T10" s="24">
        <v>0</v>
      </c>
      <c r="U10" s="24">
        <v>0</v>
      </c>
      <c r="V10" s="30">
        <v>831.72</v>
      </c>
      <c r="W10" s="30"/>
      <c r="X10" s="24">
        <v>0</v>
      </c>
      <c r="Y10" s="24">
        <v>407.22</v>
      </c>
      <c r="Z10" s="24">
        <v>-67.69</v>
      </c>
      <c r="AA10" s="24">
        <v>437.22</v>
      </c>
      <c r="AB10" s="24">
        <v>194.16</v>
      </c>
      <c r="AC10" s="24">
        <v>0</v>
      </c>
      <c r="AD10" s="27">
        <v>970.91</v>
      </c>
      <c r="AE10" s="29"/>
      <c r="AF10" s="26">
        <f t="shared" si="1"/>
        <v>697.37</v>
      </c>
    </row>
    <row r="11" spans="1:32" s="31" customFormat="1" ht="10.5" outlineLevel="1">
      <c r="A11" s="24" t="s">
        <v>41</v>
      </c>
      <c r="B11" s="24"/>
      <c r="C11" s="25" t="s">
        <v>79</v>
      </c>
      <c r="D11" s="26"/>
      <c r="E11" s="25" t="s">
        <v>80</v>
      </c>
      <c r="F11" s="27"/>
      <c r="G11" s="27">
        <v>0</v>
      </c>
      <c r="H11" s="27"/>
      <c r="I11" s="28">
        <f t="shared" si="0"/>
        <v>0</v>
      </c>
      <c r="J11" s="27"/>
      <c r="K11" s="24">
        <v>0</v>
      </c>
      <c r="L11" s="27">
        <v>0</v>
      </c>
      <c r="M11" s="29"/>
      <c r="N11" s="27"/>
      <c r="O11" s="27"/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30">
        <v>0</v>
      </c>
      <c r="W11" s="30"/>
      <c r="X11" s="24">
        <v>0</v>
      </c>
      <c r="Y11" s="24">
        <v>0</v>
      </c>
      <c r="Z11" s="24">
        <v>0</v>
      </c>
      <c r="AA11" s="24">
        <v>-30</v>
      </c>
      <c r="AB11" s="24">
        <v>0</v>
      </c>
      <c r="AC11" s="24">
        <v>0</v>
      </c>
      <c r="AD11" s="27">
        <v>-30</v>
      </c>
      <c r="AE11" s="29"/>
      <c r="AF11" s="26">
        <f t="shared" si="1"/>
        <v>30</v>
      </c>
    </row>
    <row r="12" spans="1:32" s="31" customFormat="1" ht="10.5" outlineLevel="1">
      <c r="A12" s="24" t="s">
        <v>42</v>
      </c>
      <c r="B12" s="24"/>
      <c r="C12" s="25" t="s">
        <v>81</v>
      </c>
      <c r="D12" s="26"/>
      <c r="E12" s="25" t="s">
        <v>82</v>
      </c>
      <c r="F12" s="27"/>
      <c r="G12" s="27">
        <v>0</v>
      </c>
      <c r="H12" s="27"/>
      <c r="I12" s="28">
        <f t="shared" si="0"/>
        <v>0</v>
      </c>
      <c r="J12" s="27"/>
      <c r="K12" s="24">
        <v>0</v>
      </c>
      <c r="L12" s="27">
        <v>0</v>
      </c>
      <c r="M12" s="29"/>
      <c r="N12" s="27"/>
      <c r="O12" s="27"/>
      <c r="P12" s="24">
        <v>2030.3</v>
      </c>
      <c r="Q12" s="24">
        <v>-2030.3</v>
      </c>
      <c r="R12" s="24">
        <v>0</v>
      </c>
      <c r="S12" s="24">
        <v>0</v>
      </c>
      <c r="T12" s="24">
        <v>0</v>
      </c>
      <c r="U12" s="24">
        <v>0</v>
      </c>
      <c r="V12" s="30">
        <v>0</v>
      </c>
      <c r="W12" s="30"/>
      <c r="X12" s="24">
        <v>0</v>
      </c>
      <c r="Y12" s="24">
        <v>2030.33</v>
      </c>
      <c r="Z12" s="24">
        <v>0</v>
      </c>
      <c r="AA12" s="24">
        <v>0</v>
      </c>
      <c r="AB12" s="24">
        <v>0</v>
      </c>
      <c r="AC12" s="24">
        <v>0</v>
      </c>
      <c r="AD12" s="27">
        <v>2030.33</v>
      </c>
      <c r="AE12" s="29"/>
      <c r="AF12" s="26">
        <f t="shared" si="1"/>
        <v>-2030.33</v>
      </c>
    </row>
    <row r="13" spans="1:32" s="31" customFormat="1" ht="10.5" outlineLevel="1">
      <c r="A13" s="24" t="s">
        <v>43</v>
      </c>
      <c r="B13" s="24"/>
      <c r="C13" s="25" t="s">
        <v>83</v>
      </c>
      <c r="D13" s="26"/>
      <c r="E13" s="25" t="s">
        <v>84</v>
      </c>
      <c r="F13" s="27"/>
      <c r="G13" s="27">
        <v>8500</v>
      </c>
      <c r="H13" s="27"/>
      <c r="I13" s="28">
        <f t="shared" si="0"/>
        <v>0</v>
      </c>
      <c r="J13" s="27"/>
      <c r="K13" s="24">
        <v>8500</v>
      </c>
      <c r="L13" s="27">
        <v>8500</v>
      </c>
      <c r="M13" s="29"/>
      <c r="N13" s="27"/>
      <c r="O13" s="27"/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30">
        <v>0</v>
      </c>
      <c r="W13" s="30"/>
      <c r="X13" s="24">
        <v>0</v>
      </c>
      <c r="Y13" s="24">
        <v>0</v>
      </c>
      <c r="Z13" s="24">
        <v>-234.9</v>
      </c>
      <c r="AA13" s="24">
        <v>0</v>
      </c>
      <c r="AB13" s="24">
        <v>1401.3</v>
      </c>
      <c r="AC13" s="24">
        <v>0</v>
      </c>
      <c r="AD13" s="27">
        <v>1166.4</v>
      </c>
      <c r="AE13" s="29"/>
      <c r="AF13" s="26">
        <f t="shared" si="1"/>
        <v>7333.6</v>
      </c>
    </row>
    <row r="14" spans="1:32" s="31" customFormat="1" ht="10.5" outlineLevel="1">
      <c r="A14" s="24" t="s">
        <v>44</v>
      </c>
      <c r="B14" s="24"/>
      <c r="C14" s="25" t="s">
        <v>85</v>
      </c>
      <c r="D14" s="26"/>
      <c r="E14" s="25" t="s">
        <v>86</v>
      </c>
      <c r="F14" s="27"/>
      <c r="G14" s="27">
        <v>3000</v>
      </c>
      <c r="H14" s="27"/>
      <c r="I14" s="28">
        <f t="shared" si="0"/>
        <v>0</v>
      </c>
      <c r="J14" s="27"/>
      <c r="K14" s="24">
        <v>3000</v>
      </c>
      <c r="L14" s="27">
        <v>3000</v>
      </c>
      <c r="M14" s="29"/>
      <c r="N14" s="27"/>
      <c r="O14" s="27"/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30">
        <v>0</v>
      </c>
      <c r="W14" s="30"/>
      <c r="X14" s="24">
        <v>21.8</v>
      </c>
      <c r="Y14" s="24">
        <v>263.07</v>
      </c>
      <c r="Z14" s="24">
        <v>170.85</v>
      </c>
      <c r="AA14" s="24">
        <v>597.64</v>
      </c>
      <c r="AB14" s="24">
        <v>126.59</v>
      </c>
      <c r="AC14" s="24">
        <v>214.49</v>
      </c>
      <c r="AD14" s="27">
        <v>1394.44</v>
      </c>
      <c r="AE14" s="29"/>
      <c r="AF14" s="26">
        <f t="shared" si="1"/>
        <v>1605.56</v>
      </c>
    </row>
    <row r="15" spans="1:32" s="31" customFormat="1" ht="10.5" outlineLevel="1">
      <c r="A15" s="24" t="s">
        <v>45</v>
      </c>
      <c r="B15" s="24"/>
      <c r="C15" s="25" t="s">
        <v>87</v>
      </c>
      <c r="D15" s="26"/>
      <c r="E15" s="25" t="s">
        <v>88</v>
      </c>
      <c r="F15" s="27"/>
      <c r="G15" s="27">
        <v>0</v>
      </c>
      <c r="H15" s="27"/>
      <c r="I15" s="28">
        <f t="shared" si="0"/>
        <v>0</v>
      </c>
      <c r="J15" s="27"/>
      <c r="K15" s="24">
        <v>0</v>
      </c>
      <c r="L15" s="27">
        <v>0</v>
      </c>
      <c r="M15" s="29"/>
      <c r="N15" s="27"/>
      <c r="O15" s="27"/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30">
        <v>0</v>
      </c>
      <c r="W15" s="30"/>
      <c r="X15" s="24">
        <v>0</v>
      </c>
      <c r="Y15" s="24">
        <v>210.18</v>
      </c>
      <c r="Z15" s="24">
        <v>0</v>
      </c>
      <c r="AA15" s="24">
        <v>29.73</v>
      </c>
      <c r="AB15" s="24">
        <v>0</v>
      </c>
      <c r="AC15" s="24">
        <v>0</v>
      </c>
      <c r="AD15" s="27">
        <v>239.91</v>
      </c>
      <c r="AE15" s="29"/>
      <c r="AF15" s="26">
        <f t="shared" si="1"/>
        <v>-239.91</v>
      </c>
    </row>
    <row r="16" spans="1:32" s="31" customFormat="1" ht="10.5" outlineLevel="1">
      <c r="A16" s="24" t="s">
        <v>46</v>
      </c>
      <c r="B16" s="24"/>
      <c r="C16" s="25" t="s">
        <v>89</v>
      </c>
      <c r="D16" s="26"/>
      <c r="E16" s="25" t="s">
        <v>90</v>
      </c>
      <c r="F16" s="27"/>
      <c r="G16" s="27">
        <v>0</v>
      </c>
      <c r="H16" s="27"/>
      <c r="I16" s="28">
        <f t="shared" si="0"/>
        <v>0</v>
      </c>
      <c r="J16" s="27"/>
      <c r="K16" s="24">
        <v>0</v>
      </c>
      <c r="L16" s="27">
        <v>0</v>
      </c>
      <c r="M16" s="29"/>
      <c r="N16" s="27"/>
      <c r="O16" s="27"/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30">
        <v>0</v>
      </c>
      <c r="W16" s="30"/>
      <c r="X16" s="24">
        <v>0</v>
      </c>
      <c r="Y16" s="24">
        <v>0</v>
      </c>
      <c r="Z16" s="24">
        <v>0</v>
      </c>
      <c r="AA16" s="24">
        <v>107.45</v>
      </c>
      <c r="AB16" s="24">
        <v>0</v>
      </c>
      <c r="AC16" s="24">
        <v>0</v>
      </c>
      <c r="AD16" s="27">
        <v>107.45</v>
      </c>
      <c r="AE16" s="29"/>
      <c r="AF16" s="26">
        <f t="shared" si="1"/>
        <v>-107.45</v>
      </c>
    </row>
    <row r="17" spans="1:32" s="31" customFormat="1" ht="10.5" outlineLevel="1">
      <c r="A17" s="24" t="s">
        <v>47</v>
      </c>
      <c r="B17" s="24"/>
      <c r="C17" s="25" t="s">
        <v>91</v>
      </c>
      <c r="D17" s="26"/>
      <c r="E17" s="25" t="s">
        <v>92</v>
      </c>
      <c r="F17" s="27"/>
      <c r="G17" s="27">
        <v>0</v>
      </c>
      <c r="H17" s="27"/>
      <c r="I17" s="28">
        <f t="shared" si="0"/>
        <v>0</v>
      </c>
      <c r="J17" s="27"/>
      <c r="K17" s="24">
        <v>0</v>
      </c>
      <c r="L17" s="27">
        <v>0</v>
      </c>
      <c r="M17" s="29"/>
      <c r="N17" s="27"/>
      <c r="O17" s="27"/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30">
        <v>0</v>
      </c>
      <c r="W17" s="30"/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221.66</v>
      </c>
      <c r="AD17" s="27">
        <v>221.66</v>
      </c>
      <c r="AE17" s="29"/>
      <c r="AF17" s="26">
        <f t="shared" si="1"/>
        <v>-221.66</v>
      </c>
    </row>
    <row r="18" spans="1:32" s="31" customFormat="1" ht="10.5" outlineLevel="1">
      <c r="A18" s="24" t="s">
        <v>48</v>
      </c>
      <c r="B18" s="24"/>
      <c r="C18" s="25" t="s">
        <v>93</v>
      </c>
      <c r="D18" s="26"/>
      <c r="E18" s="25" t="s">
        <v>94</v>
      </c>
      <c r="F18" s="27"/>
      <c r="G18" s="27">
        <v>1500</v>
      </c>
      <c r="H18" s="27"/>
      <c r="I18" s="28">
        <f t="shared" si="0"/>
        <v>0</v>
      </c>
      <c r="J18" s="27"/>
      <c r="K18" s="24">
        <v>1500</v>
      </c>
      <c r="L18" s="27">
        <v>1500</v>
      </c>
      <c r="M18" s="29"/>
      <c r="N18" s="27"/>
      <c r="O18" s="27"/>
      <c r="P18" s="24">
        <v>4383</v>
      </c>
      <c r="Q18" s="24">
        <v>-4383</v>
      </c>
      <c r="R18" s="24">
        <v>0</v>
      </c>
      <c r="S18" s="24">
        <v>3603.19</v>
      </c>
      <c r="T18" s="24">
        <v>0</v>
      </c>
      <c r="U18" s="24">
        <v>0</v>
      </c>
      <c r="V18" s="30">
        <v>3603.19</v>
      </c>
      <c r="W18" s="30"/>
      <c r="X18" s="24">
        <v>0</v>
      </c>
      <c r="Y18" s="24">
        <v>4383</v>
      </c>
      <c r="Z18" s="24">
        <v>0</v>
      </c>
      <c r="AA18" s="24">
        <v>0</v>
      </c>
      <c r="AB18" s="24">
        <v>6962.77</v>
      </c>
      <c r="AC18" s="24">
        <v>0</v>
      </c>
      <c r="AD18" s="27">
        <v>11345.77</v>
      </c>
      <c r="AE18" s="29"/>
      <c r="AF18" s="26">
        <f t="shared" si="1"/>
        <v>-13448.960000000001</v>
      </c>
    </row>
    <row r="19" spans="1:32" s="31" customFormat="1" ht="10.5" outlineLevel="1">
      <c r="A19" s="24" t="s">
        <v>49</v>
      </c>
      <c r="B19" s="24"/>
      <c r="C19" s="25" t="s">
        <v>95</v>
      </c>
      <c r="D19" s="26"/>
      <c r="E19" s="25" t="s">
        <v>96</v>
      </c>
      <c r="F19" s="27"/>
      <c r="G19" s="27">
        <v>2500</v>
      </c>
      <c r="H19" s="27"/>
      <c r="I19" s="28">
        <f t="shared" si="0"/>
        <v>0</v>
      </c>
      <c r="J19" s="27"/>
      <c r="K19" s="24">
        <v>2500</v>
      </c>
      <c r="L19" s="27">
        <v>2500</v>
      </c>
      <c r="M19" s="29"/>
      <c r="N19" s="27"/>
      <c r="O19" s="27"/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30">
        <v>0</v>
      </c>
      <c r="W19" s="30"/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7">
        <v>0</v>
      </c>
      <c r="AE19" s="29"/>
      <c r="AF19" s="26">
        <f t="shared" si="1"/>
        <v>2500</v>
      </c>
    </row>
    <row r="20" spans="1:32" s="31" customFormat="1" ht="10.5" outlineLevel="1">
      <c r="A20" s="24" t="s">
        <v>50</v>
      </c>
      <c r="B20" s="24"/>
      <c r="C20" s="25" t="s">
        <v>97</v>
      </c>
      <c r="D20" s="26"/>
      <c r="E20" s="25" t="s">
        <v>98</v>
      </c>
      <c r="F20" s="27"/>
      <c r="G20" s="27">
        <v>12500</v>
      </c>
      <c r="H20" s="27"/>
      <c r="I20" s="28">
        <f t="shared" si="0"/>
        <v>0</v>
      </c>
      <c r="J20" s="27"/>
      <c r="K20" s="24">
        <v>12500</v>
      </c>
      <c r="L20" s="27">
        <v>12500</v>
      </c>
      <c r="M20" s="29"/>
      <c r="N20" s="27"/>
      <c r="O20" s="27"/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30">
        <v>0</v>
      </c>
      <c r="W20" s="30"/>
      <c r="X20" s="24">
        <v>0</v>
      </c>
      <c r="Y20" s="24">
        <v>0</v>
      </c>
      <c r="Z20" s="24">
        <v>0</v>
      </c>
      <c r="AA20" s="24">
        <v>8525</v>
      </c>
      <c r="AB20" s="24">
        <v>0</v>
      </c>
      <c r="AC20" s="24">
        <v>0</v>
      </c>
      <c r="AD20" s="27">
        <v>8525</v>
      </c>
      <c r="AE20" s="29"/>
      <c r="AF20" s="26">
        <f t="shared" si="1"/>
        <v>3975</v>
      </c>
    </row>
    <row r="21" spans="1:32" s="31" customFormat="1" ht="10.5" outlineLevel="1">
      <c r="A21" s="24" t="s">
        <v>51</v>
      </c>
      <c r="B21" s="24"/>
      <c r="C21" s="25" t="s">
        <v>99</v>
      </c>
      <c r="D21" s="26"/>
      <c r="E21" s="25" t="s">
        <v>100</v>
      </c>
      <c r="F21" s="27"/>
      <c r="G21" s="27">
        <v>7513</v>
      </c>
      <c r="H21" s="27"/>
      <c r="I21" s="28">
        <f t="shared" si="0"/>
        <v>0</v>
      </c>
      <c r="J21" s="27"/>
      <c r="K21" s="24">
        <v>7513</v>
      </c>
      <c r="L21" s="27">
        <v>7513</v>
      </c>
      <c r="M21" s="29"/>
      <c r="N21" s="27"/>
      <c r="O21" s="27"/>
      <c r="P21" s="24">
        <v>0</v>
      </c>
      <c r="Q21" s="24">
        <v>0</v>
      </c>
      <c r="R21" s="24">
        <v>0</v>
      </c>
      <c r="S21" s="24">
        <v>215.76</v>
      </c>
      <c r="T21" s="24">
        <v>-215.76</v>
      </c>
      <c r="U21" s="24">
        <v>3603.03</v>
      </c>
      <c r="V21" s="30">
        <v>3603.03</v>
      </c>
      <c r="W21" s="30"/>
      <c r="X21" s="24">
        <v>0</v>
      </c>
      <c r="Y21" s="24">
        <v>0</v>
      </c>
      <c r="Z21" s="24">
        <v>0</v>
      </c>
      <c r="AA21" s="24">
        <v>0</v>
      </c>
      <c r="AB21" s="24">
        <v>215.75</v>
      </c>
      <c r="AC21" s="24">
        <v>0</v>
      </c>
      <c r="AD21" s="27">
        <v>215.75</v>
      </c>
      <c r="AE21" s="29"/>
      <c r="AF21" s="26">
        <f t="shared" si="1"/>
        <v>3694.22</v>
      </c>
    </row>
    <row r="22" spans="1:32" s="31" customFormat="1" ht="10.5" outlineLevel="1">
      <c r="A22" s="24" t="s">
        <v>52</v>
      </c>
      <c r="B22" s="24"/>
      <c r="C22" s="25" t="s">
        <v>101</v>
      </c>
      <c r="D22" s="26"/>
      <c r="E22" s="25" t="s">
        <v>102</v>
      </c>
      <c r="F22" s="27"/>
      <c r="G22" s="27">
        <v>2000</v>
      </c>
      <c r="H22" s="27"/>
      <c r="I22" s="28">
        <f t="shared" si="0"/>
        <v>0</v>
      </c>
      <c r="J22" s="27"/>
      <c r="K22" s="24">
        <v>2000</v>
      </c>
      <c r="L22" s="27">
        <v>2000</v>
      </c>
      <c r="M22" s="29"/>
      <c r="N22" s="27"/>
      <c r="O22" s="27"/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30">
        <v>0</v>
      </c>
      <c r="W22" s="30"/>
      <c r="X22" s="24">
        <v>2.37</v>
      </c>
      <c r="Y22" s="24">
        <v>736.19</v>
      </c>
      <c r="Z22" s="24">
        <v>1102.38</v>
      </c>
      <c r="AA22" s="24">
        <v>28.96</v>
      </c>
      <c r="AB22" s="24">
        <v>1112.73</v>
      </c>
      <c r="AC22" s="24">
        <v>0</v>
      </c>
      <c r="AD22" s="27">
        <v>2982.63</v>
      </c>
      <c r="AE22" s="29"/>
      <c r="AF22" s="26">
        <f t="shared" si="1"/>
        <v>-982.6300000000001</v>
      </c>
    </row>
    <row r="23" spans="1:32" s="31" customFormat="1" ht="10.5" outlineLevel="1">
      <c r="A23" s="24" t="s">
        <v>53</v>
      </c>
      <c r="B23" s="24"/>
      <c r="C23" s="25" t="s">
        <v>103</v>
      </c>
      <c r="D23" s="26"/>
      <c r="E23" s="25" t="s">
        <v>104</v>
      </c>
      <c r="F23" s="27"/>
      <c r="G23" s="27">
        <v>5000</v>
      </c>
      <c r="H23" s="27"/>
      <c r="I23" s="28">
        <f t="shared" si="0"/>
        <v>0</v>
      </c>
      <c r="J23" s="27"/>
      <c r="K23" s="24">
        <v>5000</v>
      </c>
      <c r="L23" s="27">
        <v>5000</v>
      </c>
      <c r="M23" s="29"/>
      <c r="N23" s="27"/>
      <c r="O23" s="27"/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30">
        <v>0</v>
      </c>
      <c r="W23" s="30"/>
      <c r="X23" s="24">
        <v>6380</v>
      </c>
      <c r="Y23" s="24">
        <v>2451.45</v>
      </c>
      <c r="Z23" s="24">
        <v>3854.97</v>
      </c>
      <c r="AA23" s="24">
        <v>-4907.37</v>
      </c>
      <c r="AB23" s="24">
        <v>1264.55</v>
      </c>
      <c r="AC23" s="24">
        <v>222.36</v>
      </c>
      <c r="AD23" s="27">
        <v>9265.96</v>
      </c>
      <c r="AE23" s="29"/>
      <c r="AF23" s="26">
        <f t="shared" si="1"/>
        <v>-4265.959999999999</v>
      </c>
    </row>
    <row r="24" spans="1:32" s="31" customFormat="1" ht="10.5" outlineLevel="1">
      <c r="A24" s="24" t="s">
        <v>54</v>
      </c>
      <c r="B24" s="24"/>
      <c r="C24" s="25" t="s">
        <v>105</v>
      </c>
      <c r="D24" s="26"/>
      <c r="E24" s="25" t="s">
        <v>106</v>
      </c>
      <c r="F24" s="27"/>
      <c r="G24" s="27">
        <v>25000</v>
      </c>
      <c r="H24" s="27"/>
      <c r="I24" s="28">
        <f t="shared" si="0"/>
        <v>0</v>
      </c>
      <c r="J24" s="27"/>
      <c r="K24" s="24">
        <v>25000</v>
      </c>
      <c r="L24" s="27">
        <v>25000</v>
      </c>
      <c r="M24" s="29"/>
      <c r="N24" s="27"/>
      <c r="O24" s="27"/>
      <c r="P24" s="24">
        <v>0</v>
      </c>
      <c r="Q24" s="24">
        <v>30290</v>
      </c>
      <c r="R24" s="24">
        <v>77833.58</v>
      </c>
      <c r="S24" s="24">
        <v>-30349.58</v>
      </c>
      <c r="T24" s="24">
        <v>3320</v>
      </c>
      <c r="U24" s="24">
        <v>0</v>
      </c>
      <c r="V24" s="30">
        <v>81094</v>
      </c>
      <c r="W24" s="30"/>
      <c r="X24" s="24">
        <v>0</v>
      </c>
      <c r="Y24" s="24">
        <v>5310</v>
      </c>
      <c r="Z24" s="24">
        <v>39003.11</v>
      </c>
      <c r="AA24" s="24">
        <v>41742.37</v>
      </c>
      <c r="AB24" s="24">
        <v>13680</v>
      </c>
      <c r="AC24" s="24">
        <v>0</v>
      </c>
      <c r="AD24" s="27">
        <v>99735.48</v>
      </c>
      <c r="AE24" s="29"/>
      <c r="AF24" s="26">
        <f t="shared" si="1"/>
        <v>-155829.47999999998</v>
      </c>
    </row>
    <row r="25" spans="1:32" s="31" customFormat="1" ht="10.5" outlineLevel="1">
      <c r="A25" s="24" t="s">
        <v>55</v>
      </c>
      <c r="B25" s="24"/>
      <c r="C25" s="25" t="s">
        <v>107</v>
      </c>
      <c r="D25" s="26"/>
      <c r="E25" s="25" t="s">
        <v>108</v>
      </c>
      <c r="F25" s="27"/>
      <c r="G25" s="27">
        <v>0</v>
      </c>
      <c r="H25" s="27"/>
      <c r="I25" s="28">
        <f t="shared" si="0"/>
        <v>0</v>
      </c>
      <c r="J25" s="27"/>
      <c r="K25" s="24">
        <v>0</v>
      </c>
      <c r="L25" s="27">
        <v>0</v>
      </c>
      <c r="M25" s="29"/>
      <c r="N25" s="27"/>
      <c r="O25" s="27"/>
      <c r="P25" s="24">
        <v>420</v>
      </c>
      <c r="Q25" s="24">
        <v>-57.4</v>
      </c>
      <c r="R25" s="24">
        <v>-36</v>
      </c>
      <c r="S25" s="24">
        <v>-40</v>
      </c>
      <c r="T25" s="24">
        <v>0</v>
      </c>
      <c r="U25" s="24">
        <v>-28.47</v>
      </c>
      <c r="V25" s="30">
        <v>258.13</v>
      </c>
      <c r="W25" s="30"/>
      <c r="X25" s="24">
        <v>0</v>
      </c>
      <c r="Y25" s="24">
        <v>57.4</v>
      </c>
      <c r="Z25" s="24">
        <v>36</v>
      </c>
      <c r="AA25" s="24">
        <v>40</v>
      </c>
      <c r="AB25" s="24">
        <v>0</v>
      </c>
      <c r="AC25" s="24">
        <v>28.47</v>
      </c>
      <c r="AD25" s="27">
        <v>161.87</v>
      </c>
      <c r="AE25" s="29"/>
      <c r="AF25" s="26">
        <f t="shared" si="1"/>
        <v>-420</v>
      </c>
    </row>
    <row r="26" spans="1:32" s="31" customFormat="1" ht="10.5" outlineLevel="1">
      <c r="A26" s="24" t="s">
        <v>56</v>
      </c>
      <c r="B26" s="24"/>
      <c r="C26" s="25" t="s">
        <v>109</v>
      </c>
      <c r="D26" s="26"/>
      <c r="E26" s="25" t="s">
        <v>110</v>
      </c>
      <c r="F26" s="27"/>
      <c r="G26" s="27">
        <v>1500</v>
      </c>
      <c r="H26" s="27"/>
      <c r="I26" s="28">
        <f t="shared" si="0"/>
        <v>0</v>
      </c>
      <c r="J26" s="27"/>
      <c r="K26" s="24">
        <v>1500</v>
      </c>
      <c r="L26" s="27">
        <v>1500</v>
      </c>
      <c r="M26" s="29"/>
      <c r="N26" s="27"/>
      <c r="O26" s="27"/>
      <c r="P26" s="24">
        <v>2039.28</v>
      </c>
      <c r="Q26" s="24">
        <v>-155.48</v>
      </c>
      <c r="R26" s="24">
        <v>-141.97</v>
      </c>
      <c r="S26" s="24">
        <v>-142.46</v>
      </c>
      <c r="T26" s="24">
        <v>-77.81</v>
      </c>
      <c r="U26" s="24">
        <v>-154.93</v>
      </c>
      <c r="V26" s="30">
        <v>1366.63</v>
      </c>
      <c r="W26" s="30"/>
      <c r="X26" s="24">
        <v>0</v>
      </c>
      <c r="Y26" s="24">
        <v>105.48</v>
      </c>
      <c r="Z26" s="24">
        <v>111.97</v>
      </c>
      <c r="AA26" s="24">
        <v>117.46</v>
      </c>
      <c r="AB26" s="24">
        <v>22.81</v>
      </c>
      <c r="AC26" s="24">
        <v>124.93</v>
      </c>
      <c r="AD26" s="27">
        <v>482.65</v>
      </c>
      <c r="AE26" s="29"/>
      <c r="AF26" s="26">
        <f t="shared" si="1"/>
        <v>-349.2800000000001</v>
      </c>
    </row>
    <row r="27" spans="1:32" s="31" customFormat="1" ht="10.5" outlineLevel="1">
      <c r="A27" s="24" t="s">
        <v>57</v>
      </c>
      <c r="B27" s="24"/>
      <c r="C27" s="25" t="s">
        <v>111</v>
      </c>
      <c r="D27" s="26"/>
      <c r="E27" s="25" t="s">
        <v>112</v>
      </c>
      <c r="F27" s="27"/>
      <c r="G27" s="27">
        <v>1500</v>
      </c>
      <c r="H27" s="27"/>
      <c r="I27" s="28">
        <f t="shared" si="0"/>
        <v>0</v>
      </c>
      <c r="J27" s="27"/>
      <c r="K27" s="24">
        <v>1500</v>
      </c>
      <c r="L27" s="27">
        <v>1500</v>
      </c>
      <c r="M27" s="29"/>
      <c r="N27" s="27"/>
      <c r="O27" s="27"/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30">
        <v>0</v>
      </c>
      <c r="W27" s="30"/>
      <c r="X27" s="24">
        <v>83.18</v>
      </c>
      <c r="Y27" s="24">
        <v>83.18</v>
      </c>
      <c r="Z27" s="24">
        <v>83.18</v>
      </c>
      <c r="AA27" s="24">
        <v>83.18</v>
      </c>
      <c r="AB27" s="24">
        <v>0</v>
      </c>
      <c r="AC27" s="24">
        <v>0</v>
      </c>
      <c r="AD27" s="27">
        <v>332.72</v>
      </c>
      <c r="AE27" s="29"/>
      <c r="AF27" s="26">
        <f t="shared" si="1"/>
        <v>1167.28</v>
      </c>
    </row>
    <row r="28" spans="1:32" s="31" customFormat="1" ht="10.5" outlineLevel="1">
      <c r="A28" s="24" t="s">
        <v>58</v>
      </c>
      <c r="B28" s="24"/>
      <c r="C28" s="25" t="s">
        <v>113</v>
      </c>
      <c r="D28" s="26"/>
      <c r="E28" s="25" t="s">
        <v>114</v>
      </c>
      <c r="F28" s="27"/>
      <c r="G28" s="27">
        <v>1000</v>
      </c>
      <c r="H28" s="27"/>
      <c r="I28" s="28">
        <f t="shared" si="0"/>
        <v>0</v>
      </c>
      <c r="J28" s="27"/>
      <c r="K28" s="24">
        <v>1000</v>
      </c>
      <c r="L28" s="27">
        <v>1000</v>
      </c>
      <c r="M28" s="29"/>
      <c r="N28" s="27"/>
      <c r="O28" s="27"/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30">
        <v>0</v>
      </c>
      <c r="W28" s="30"/>
      <c r="X28" s="24">
        <v>0</v>
      </c>
      <c r="Y28" s="24">
        <v>0</v>
      </c>
      <c r="Z28" s="24">
        <v>1234.57</v>
      </c>
      <c r="AA28" s="24">
        <v>70</v>
      </c>
      <c r="AB28" s="24">
        <v>0</v>
      </c>
      <c r="AC28" s="24">
        <v>0</v>
      </c>
      <c r="AD28" s="27">
        <v>1304.57</v>
      </c>
      <c r="AE28" s="29"/>
      <c r="AF28" s="26">
        <f t="shared" si="1"/>
        <v>-304.56999999999994</v>
      </c>
    </row>
    <row r="29" spans="1:32" s="31" customFormat="1" ht="10.5" outlineLevel="1">
      <c r="A29" s="24" t="s">
        <v>59</v>
      </c>
      <c r="B29" s="24"/>
      <c r="C29" s="25" t="s">
        <v>115</v>
      </c>
      <c r="D29" s="26"/>
      <c r="E29" s="25" t="s">
        <v>116</v>
      </c>
      <c r="F29" s="27"/>
      <c r="G29" s="27">
        <v>500</v>
      </c>
      <c r="H29" s="27"/>
      <c r="I29" s="28">
        <f t="shared" si="0"/>
        <v>0</v>
      </c>
      <c r="J29" s="27"/>
      <c r="K29" s="24">
        <v>500</v>
      </c>
      <c r="L29" s="27">
        <v>500</v>
      </c>
      <c r="M29" s="29"/>
      <c r="N29" s="27"/>
      <c r="O29" s="27"/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30">
        <v>0</v>
      </c>
      <c r="W29" s="30"/>
      <c r="X29" s="24">
        <v>413.98</v>
      </c>
      <c r="Y29" s="24">
        <v>610.62</v>
      </c>
      <c r="Z29" s="24">
        <v>440.23</v>
      </c>
      <c r="AA29" s="24">
        <v>1207.78</v>
      </c>
      <c r="AB29" s="24">
        <v>50.92</v>
      </c>
      <c r="AC29" s="24">
        <v>23</v>
      </c>
      <c r="AD29" s="27">
        <v>2746.53</v>
      </c>
      <c r="AE29" s="29"/>
      <c r="AF29" s="26">
        <f t="shared" si="1"/>
        <v>-2246.53</v>
      </c>
    </row>
    <row r="30" spans="1:32" s="31" customFormat="1" ht="10.5" outlineLevel="1">
      <c r="A30" s="24" t="s">
        <v>60</v>
      </c>
      <c r="B30" s="24"/>
      <c r="C30" s="25" t="s">
        <v>117</v>
      </c>
      <c r="D30" s="26"/>
      <c r="E30" s="25" t="s">
        <v>118</v>
      </c>
      <c r="F30" s="27"/>
      <c r="G30" s="27">
        <v>1000</v>
      </c>
      <c r="H30" s="27"/>
      <c r="I30" s="28">
        <f t="shared" si="0"/>
        <v>0</v>
      </c>
      <c r="J30" s="27"/>
      <c r="K30" s="24">
        <v>1000</v>
      </c>
      <c r="L30" s="27">
        <v>1000</v>
      </c>
      <c r="M30" s="29"/>
      <c r="N30" s="27"/>
      <c r="O30" s="27"/>
      <c r="P30" s="24">
        <v>540</v>
      </c>
      <c r="Q30" s="24">
        <v>-95.88</v>
      </c>
      <c r="R30" s="24">
        <v>-47.94</v>
      </c>
      <c r="S30" s="24">
        <v>-47.94</v>
      </c>
      <c r="T30" s="24">
        <v>-47.94</v>
      </c>
      <c r="U30" s="24">
        <v>0</v>
      </c>
      <c r="V30" s="30">
        <v>300.3</v>
      </c>
      <c r="W30" s="30"/>
      <c r="X30" s="24">
        <v>0</v>
      </c>
      <c r="Y30" s="24">
        <v>95.88</v>
      </c>
      <c r="Z30" s="24">
        <v>47.94</v>
      </c>
      <c r="AA30" s="24">
        <v>47.94</v>
      </c>
      <c r="AB30" s="24">
        <v>47.94</v>
      </c>
      <c r="AC30" s="24">
        <v>0</v>
      </c>
      <c r="AD30" s="27">
        <v>239.7</v>
      </c>
      <c r="AE30" s="29"/>
      <c r="AF30" s="26">
        <f t="shared" si="1"/>
        <v>460.00000000000006</v>
      </c>
    </row>
    <row r="31" spans="1:32" s="31" customFormat="1" ht="10.5" outlineLevel="1">
      <c r="A31" s="24" t="s">
        <v>61</v>
      </c>
      <c r="B31" s="24"/>
      <c r="C31" s="25" t="s">
        <v>119</v>
      </c>
      <c r="D31" s="26"/>
      <c r="E31" s="25" t="s">
        <v>120</v>
      </c>
      <c r="F31" s="27"/>
      <c r="G31" s="27">
        <v>250</v>
      </c>
      <c r="H31" s="27"/>
      <c r="I31" s="28">
        <f t="shared" si="0"/>
        <v>0</v>
      </c>
      <c r="J31" s="27"/>
      <c r="K31" s="24">
        <v>250</v>
      </c>
      <c r="L31" s="27">
        <v>250</v>
      </c>
      <c r="M31" s="29"/>
      <c r="N31" s="27"/>
      <c r="O31" s="27"/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30">
        <v>0</v>
      </c>
      <c r="W31" s="30"/>
      <c r="X31" s="24">
        <v>11.5</v>
      </c>
      <c r="Y31" s="24">
        <v>11.5</v>
      </c>
      <c r="Z31" s="24">
        <v>11.5</v>
      </c>
      <c r="AA31" s="24">
        <v>11.5</v>
      </c>
      <c r="AB31" s="24">
        <v>0</v>
      </c>
      <c r="AC31" s="24">
        <v>0</v>
      </c>
      <c r="AD31" s="27">
        <v>46</v>
      </c>
      <c r="AE31" s="29"/>
      <c r="AF31" s="26">
        <f t="shared" si="1"/>
        <v>204</v>
      </c>
    </row>
    <row r="32" spans="1:32" s="31" customFormat="1" ht="10.5" outlineLevel="1">
      <c r="A32" s="24" t="s">
        <v>62</v>
      </c>
      <c r="B32" s="24"/>
      <c r="C32" s="25" t="s">
        <v>121</v>
      </c>
      <c r="D32" s="26"/>
      <c r="E32" s="25" t="s">
        <v>122</v>
      </c>
      <c r="F32" s="27"/>
      <c r="G32" s="27">
        <v>0</v>
      </c>
      <c r="H32" s="27"/>
      <c r="I32" s="28">
        <f t="shared" si="0"/>
        <v>307201</v>
      </c>
      <c r="J32" s="27"/>
      <c r="K32" s="24">
        <v>307201</v>
      </c>
      <c r="L32" s="27">
        <v>307201</v>
      </c>
      <c r="M32" s="29"/>
      <c r="N32" s="27"/>
      <c r="O32" s="27"/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30">
        <v>0</v>
      </c>
      <c r="W32" s="30"/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7">
        <v>0</v>
      </c>
      <c r="AE32" s="29"/>
      <c r="AF32" s="26">
        <f t="shared" si="1"/>
        <v>307201</v>
      </c>
    </row>
    <row r="33" spans="1:32" s="61" customFormat="1" ht="15.75">
      <c r="A33" s="61" t="s">
        <v>154</v>
      </c>
      <c r="C33" s="61" t="s">
        <v>155</v>
      </c>
      <c r="E33" s="61" t="s">
        <v>25</v>
      </c>
      <c r="F33" s="62"/>
      <c r="G33" s="62">
        <v>226263</v>
      </c>
      <c r="H33" s="62"/>
      <c r="I33" s="63">
        <f>+L33-G33</f>
        <v>307201</v>
      </c>
      <c r="J33" s="62"/>
      <c r="K33" s="61">
        <v>533464</v>
      </c>
      <c r="L33" s="62">
        <v>533464</v>
      </c>
      <c r="M33" s="62"/>
      <c r="N33" s="62"/>
      <c r="O33" s="62"/>
      <c r="P33" s="61">
        <v>29449.28</v>
      </c>
      <c r="Q33" s="61">
        <v>5634.25</v>
      </c>
      <c r="R33" s="61">
        <v>77607.67</v>
      </c>
      <c r="S33" s="61">
        <v>-27098.58</v>
      </c>
      <c r="T33" s="61">
        <v>2044.75</v>
      </c>
      <c r="U33" s="61">
        <v>4404.23</v>
      </c>
      <c r="V33" s="64">
        <v>92041.6</v>
      </c>
      <c r="W33" s="64"/>
      <c r="X33" s="61">
        <v>6912.83</v>
      </c>
      <c r="Y33" s="61">
        <v>34191.34</v>
      </c>
      <c r="Z33" s="61">
        <v>37281.55</v>
      </c>
      <c r="AA33" s="61">
        <v>48108.86</v>
      </c>
      <c r="AB33" s="61">
        <v>26997.84</v>
      </c>
      <c r="AC33" s="61">
        <v>834.91</v>
      </c>
      <c r="AD33" s="62">
        <v>154327.33</v>
      </c>
      <c r="AE33" s="62"/>
      <c r="AF33" s="61">
        <f>+L33-N33-V33-AD33</f>
        <v>287095.07000000007</v>
      </c>
    </row>
    <row r="37" ht="10.5">
      <c r="E37" s="65"/>
    </row>
    <row r="40" ht="23.25">
      <c r="V40" s="80" t="s">
        <v>180</v>
      </c>
    </row>
    <row r="41" ht="23.25">
      <c r="V41" s="80" t="s">
        <v>183</v>
      </c>
    </row>
  </sheetData>
  <printOptions gridLines="1"/>
  <pageMargins left="0.25" right="0.25" top="0.5" bottom="0.5" header="0.25" footer="0.25"/>
  <pageSetup blackAndWhite="1" orientation="landscape" pageOrder="overThenDown" r:id="rId1"/>
  <headerFooter alignWithMargins="0">
    <oddHeader>&amp;C&amp;F</oddHeader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9">
      <selection activeCell="I25" sqref="I25"/>
    </sheetView>
  </sheetViews>
  <sheetFormatPr defaultColWidth="9.140625" defaultRowHeight="12.75"/>
  <cols>
    <col min="1" max="1" width="11.421875" style="0" customWidth="1"/>
    <col min="2" max="2" width="6.421875" style="0" customWidth="1"/>
    <col min="3" max="3" width="18.00390625" style="0" bestFit="1" customWidth="1"/>
    <col min="4" max="4" width="6.8515625" style="0" customWidth="1"/>
    <col min="5" max="5" width="5.7109375" style="0" customWidth="1"/>
    <col min="6" max="6" width="9.28125" style="0" customWidth="1"/>
    <col min="7" max="7" width="6.421875" style="0" customWidth="1"/>
    <col min="8" max="8" width="9.7109375" style="0" customWidth="1"/>
    <col min="9" max="9" width="38.7109375" style="0" customWidth="1"/>
  </cols>
  <sheetData>
    <row r="1" spans="1:9" ht="17.25" customHeight="1">
      <c r="A1" s="81" t="s">
        <v>156</v>
      </c>
      <c r="B1" s="82"/>
      <c r="C1" s="82"/>
      <c r="D1" s="82"/>
      <c r="E1" s="82"/>
      <c r="F1" s="82"/>
      <c r="G1" s="82"/>
      <c r="H1" s="82"/>
      <c r="I1" s="82"/>
    </row>
    <row r="3" spans="1:9" ht="15">
      <c r="A3" s="66" t="s">
        <v>157</v>
      </c>
      <c r="B3" s="66" t="s">
        <v>158</v>
      </c>
      <c r="C3" s="66" t="s">
        <v>159</v>
      </c>
      <c r="D3" s="66" t="s">
        <v>160</v>
      </c>
      <c r="E3" s="66" t="s">
        <v>161</v>
      </c>
      <c r="F3" s="66" t="s">
        <v>8</v>
      </c>
      <c r="G3" s="66" t="s">
        <v>162</v>
      </c>
      <c r="H3" s="66" t="s">
        <v>163</v>
      </c>
      <c r="I3" s="66" t="s">
        <v>164</v>
      </c>
    </row>
    <row r="4" spans="1:9" ht="60">
      <c r="A4" s="67" t="str">
        <f>"0000036961"</f>
        <v>0000036961</v>
      </c>
      <c r="B4" s="67">
        <v>1</v>
      </c>
      <c r="C4" s="68">
        <v>300.3</v>
      </c>
      <c r="D4" s="67">
        <v>83440</v>
      </c>
      <c r="E4" s="67" t="str">
        <f aca="true" t="shared" si="0" ref="E4:E21">"00104"</f>
        <v>00104</v>
      </c>
      <c r="F4" s="67">
        <v>603506</v>
      </c>
      <c r="G4" s="67">
        <v>44002</v>
      </c>
      <c r="H4" s="67" t="str">
        <f aca="true" t="shared" si="1" ref="H4:H21">"0604"</f>
        <v>0604</v>
      </c>
      <c r="I4" s="67" t="s">
        <v>165</v>
      </c>
    </row>
    <row r="5" spans="1:9" ht="75">
      <c r="A5" s="67" t="str">
        <f>"0000036975"</f>
        <v>0000036975</v>
      </c>
      <c r="B5" s="67">
        <v>1</v>
      </c>
      <c r="C5" s="68">
        <v>258.13</v>
      </c>
      <c r="D5" s="67">
        <v>83440</v>
      </c>
      <c r="E5" s="67" t="str">
        <f t="shared" si="0"/>
        <v>00104</v>
      </c>
      <c r="F5" s="67">
        <v>603309</v>
      </c>
      <c r="G5" s="67">
        <v>60010</v>
      </c>
      <c r="H5" s="67" t="str">
        <f t="shared" si="1"/>
        <v>0604</v>
      </c>
      <c r="I5" s="67" t="s">
        <v>166</v>
      </c>
    </row>
    <row r="6" spans="1:9" ht="60">
      <c r="A6" s="67" t="str">
        <f>"0000037041"</f>
        <v>0000037041</v>
      </c>
      <c r="B6" s="67">
        <v>1</v>
      </c>
      <c r="C6" s="68">
        <v>361.75</v>
      </c>
      <c r="D6" s="67">
        <v>83440</v>
      </c>
      <c r="E6" s="67" t="str">
        <f t="shared" si="0"/>
        <v>00104</v>
      </c>
      <c r="F6" s="67">
        <v>603501</v>
      </c>
      <c r="G6" s="67" t="str">
        <f aca="true" t="shared" si="2" ref="G6:G11">"00000"</f>
        <v>00000</v>
      </c>
      <c r="H6" s="67" t="str">
        <f t="shared" si="1"/>
        <v>0604</v>
      </c>
      <c r="I6" s="67" t="s">
        <v>167</v>
      </c>
    </row>
    <row r="7" spans="1:9" ht="60">
      <c r="A7" s="67" t="str">
        <f>"0000037042"</f>
        <v>0000037042</v>
      </c>
      <c r="B7" s="67">
        <v>1</v>
      </c>
      <c r="C7" s="68">
        <v>409.98</v>
      </c>
      <c r="D7" s="67">
        <v>83440</v>
      </c>
      <c r="E7" s="67" t="str">
        <f t="shared" si="0"/>
        <v>00104</v>
      </c>
      <c r="F7" s="67">
        <v>603501</v>
      </c>
      <c r="G7" s="67" t="str">
        <f t="shared" si="2"/>
        <v>00000</v>
      </c>
      <c r="H7" s="67" t="str">
        <f t="shared" si="1"/>
        <v>0604</v>
      </c>
      <c r="I7" s="67" t="s">
        <v>167</v>
      </c>
    </row>
    <row r="8" spans="1:9" ht="60">
      <c r="A8" s="67" t="str">
        <f>"0000037043"</f>
        <v>0000037043</v>
      </c>
      <c r="B8" s="67">
        <v>1</v>
      </c>
      <c r="C8" s="68">
        <v>220.14</v>
      </c>
      <c r="D8" s="67">
        <v>83440</v>
      </c>
      <c r="E8" s="67" t="str">
        <f t="shared" si="0"/>
        <v>00104</v>
      </c>
      <c r="F8" s="67">
        <v>603501</v>
      </c>
      <c r="G8" s="67" t="str">
        <f t="shared" si="2"/>
        <v>00000</v>
      </c>
      <c r="H8" s="67" t="str">
        <f t="shared" si="1"/>
        <v>0604</v>
      </c>
      <c r="I8" s="67" t="s">
        <v>167</v>
      </c>
    </row>
    <row r="9" spans="1:9" ht="60">
      <c r="A9" s="67" t="str">
        <f>"0000037044"</f>
        <v>0000037044</v>
      </c>
      <c r="B9" s="67">
        <v>1</v>
      </c>
      <c r="C9" s="68">
        <v>374.76</v>
      </c>
      <c r="D9" s="67">
        <v>83440</v>
      </c>
      <c r="E9" s="67" t="str">
        <f t="shared" si="0"/>
        <v>00104</v>
      </c>
      <c r="F9" s="67">
        <v>603501</v>
      </c>
      <c r="G9" s="67" t="str">
        <f t="shared" si="2"/>
        <v>00000</v>
      </c>
      <c r="H9" s="67" t="str">
        <f t="shared" si="1"/>
        <v>0604</v>
      </c>
      <c r="I9" s="67" t="s">
        <v>168</v>
      </c>
    </row>
    <row r="10" spans="1:9" ht="75">
      <c r="A10" s="67" t="str">
        <f>"0000037148"</f>
        <v>0000037148</v>
      </c>
      <c r="B10" s="67">
        <v>1</v>
      </c>
      <c r="C10" s="68">
        <v>831.72</v>
      </c>
      <c r="D10" s="67">
        <v>83440</v>
      </c>
      <c r="E10" s="67" t="str">
        <f t="shared" si="0"/>
        <v>00104</v>
      </c>
      <c r="F10" s="67">
        <v>603107</v>
      </c>
      <c r="G10" s="67" t="str">
        <f t="shared" si="2"/>
        <v>00000</v>
      </c>
      <c r="H10" s="67" t="str">
        <f t="shared" si="1"/>
        <v>0604</v>
      </c>
      <c r="I10" s="67" t="s">
        <v>169</v>
      </c>
    </row>
    <row r="11" spans="1:9" ht="30">
      <c r="A11" s="67" t="str">
        <f>"0000037344"</f>
        <v>0000037344</v>
      </c>
      <c r="B11" s="67">
        <v>1</v>
      </c>
      <c r="C11" s="68">
        <v>984.6</v>
      </c>
      <c r="D11" s="67">
        <v>83440</v>
      </c>
      <c r="E11" s="67" t="str">
        <f t="shared" si="0"/>
        <v>00104</v>
      </c>
      <c r="F11" s="67">
        <v>603106</v>
      </c>
      <c r="G11" s="67" t="str">
        <f t="shared" si="2"/>
        <v>00000</v>
      </c>
      <c r="H11" s="67" t="str">
        <f t="shared" si="1"/>
        <v>0604</v>
      </c>
      <c r="I11" s="67" t="s">
        <v>170</v>
      </c>
    </row>
    <row r="12" spans="1:9" ht="60">
      <c r="A12" s="67" t="str">
        <f>"0000037455"</f>
        <v>0000037455</v>
      </c>
      <c r="B12" s="67">
        <v>2</v>
      </c>
      <c r="C12" s="68">
        <v>8010</v>
      </c>
      <c r="D12" s="67">
        <v>83440</v>
      </c>
      <c r="E12" s="67" t="str">
        <f t="shared" si="0"/>
        <v>00104</v>
      </c>
      <c r="F12" s="67">
        <v>603301</v>
      </c>
      <c r="G12" s="67">
        <v>60012</v>
      </c>
      <c r="H12" s="67" t="str">
        <f t="shared" si="1"/>
        <v>0604</v>
      </c>
      <c r="I12" s="67" t="s">
        <v>171</v>
      </c>
    </row>
    <row r="13" spans="1:9" ht="30">
      <c r="A13" s="67" t="str">
        <f>"0000037862"</f>
        <v>0000037862</v>
      </c>
      <c r="B13" s="67">
        <v>1</v>
      </c>
      <c r="C13" s="68">
        <v>17500</v>
      </c>
      <c r="D13" s="67">
        <v>83440</v>
      </c>
      <c r="E13" s="67" t="str">
        <f t="shared" si="0"/>
        <v>00104</v>
      </c>
      <c r="F13" s="67">
        <v>603301</v>
      </c>
      <c r="G13" s="67">
        <v>60012</v>
      </c>
      <c r="H13" s="67" t="str">
        <f t="shared" si="1"/>
        <v>0604</v>
      </c>
      <c r="I13" s="67" t="s">
        <v>172</v>
      </c>
    </row>
    <row r="14" spans="1:9" ht="30">
      <c r="A14" s="67" t="str">
        <f>"0000037863"</f>
        <v>0000037863</v>
      </c>
      <c r="B14" s="67">
        <v>1</v>
      </c>
      <c r="C14" s="68">
        <v>38584</v>
      </c>
      <c r="D14" s="67">
        <v>83440</v>
      </c>
      <c r="E14" s="67" t="str">
        <f t="shared" si="0"/>
        <v>00104</v>
      </c>
      <c r="F14" s="67">
        <v>603301</v>
      </c>
      <c r="G14" s="67">
        <v>60012</v>
      </c>
      <c r="H14" s="67" t="str">
        <f t="shared" si="1"/>
        <v>0604</v>
      </c>
      <c r="I14" s="67" t="s">
        <v>173</v>
      </c>
    </row>
    <row r="15" spans="1:9" ht="30">
      <c r="A15" s="67" t="str">
        <f>"0000038304"</f>
        <v>0000038304</v>
      </c>
      <c r="B15" s="67">
        <v>1</v>
      </c>
      <c r="C15" s="68">
        <v>2673.27</v>
      </c>
      <c r="D15" s="67">
        <v>83440</v>
      </c>
      <c r="E15" s="67" t="str">
        <f t="shared" si="0"/>
        <v>00104</v>
      </c>
      <c r="F15" s="67">
        <v>603140</v>
      </c>
      <c r="G15" s="67">
        <v>60010</v>
      </c>
      <c r="H15" s="67" t="str">
        <f t="shared" si="1"/>
        <v>0604</v>
      </c>
      <c r="I15" s="67" t="s">
        <v>174</v>
      </c>
    </row>
    <row r="16" spans="1:9" ht="45">
      <c r="A16" s="67" t="str">
        <f>"0000038304"</f>
        <v>0000038304</v>
      </c>
      <c r="B16" s="67">
        <v>2</v>
      </c>
      <c r="C16" s="68">
        <v>815.57</v>
      </c>
      <c r="D16" s="67">
        <v>83440</v>
      </c>
      <c r="E16" s="67" t="str">
        <f t="shared" si="0"/>
        <v>00104</v>
      </c>
      <c r="F16" s="67">
        <v>603140</v>
      </c>
      <c r="G16" s="67">
        <v>60010</v>
      </c>
      <c r="H16" s="67" t="str">
        <f t="shared" si="1"/>
        <v>0604</v>
      </c>
      <c r="I16" s="67" t="s">
        <v>175</v>
      </c>
    </row>
    <row r="17" spans="1:9" ht="30">
      <c r="A17" s="67" t="str">
        <f>"0000038304"</f>
        <v>0000038304</v>
      </c>
      <c r="B17" s="67">
        <v>3</v>
      </c>
      <c r="C17" s="68">
        <v>114.35</v>
      </c>
      <c r="D17" s="67">
        <v>83440</v>
      </c>
      <c r="E17" s="67" t="str">
        <f t="shared" si="0"/>
        <v>00104</v>
      </c>
      <c r="F17" s="67">
        <v>603140</v>
      </c>
      <c r="G17" s="67">
        <v>60010</v>
      </c>
      <c r="H17" s="67" t="str">
        <f t="shared" si="1"/>
        <v>0604</v>
      </c>
      <c r="I17" s="67" t="s">
        <v>176</v>
      </c>
    </row>
    <row r="18" spans="1:9" ht="60">
      <c r="A18" s="67" t="str">
        <f>"0000038647"</f>
        <v>0000038647</v>
      </c>
      <c r="B18" s="67">
        <v>1</v>
      </c>
      <c r="C18" s="68">
        <v>17000</v>
      </c>
      <c r="D18" s="67">
        <v>83440</v>
      </c>
      <c r="E18" s="67" t="str">
        <f t="shared" si="0"/>
        <v>00104</v>
      </c>
      <c r="F18" s="67">
        <v>603301</v>
      </c>
      <c r="G18" s="67">
        <v>60012</v>
      </c>
      <c r="H18" s="67" t="str">
        <f t="shared" si="1"/>
        <v>0604</v>
      </c>
      <c r="I18" s="67" t="s">
        <v>177</v>
      </c>
    </row>
    <row r="19" spans="1:9" ht="30">
      <c r="A19" s="67" t="str">
        <f>"0000038728"</f>
        <v>0000038728</v>
      </c>
      <c r="B19" s="67">
        <v>1</v>
      </c>
      <c r="C19" s="68">
        <v>2673.14</v>
      </c>
      <c r="D19" s="67">
        <v>83440</v>
      </c>
      <c r="E19" s="67" t="str">
        <f t="shared" si="0"/>
        <v>00104</v>
      </c>
      <c r="F19" s="67">
        <v>603145</v>
      </c>
      <c r="G19" s="67">
        <v>60012</v>
      </c>
      <c r="H19" s="67" t="str">
        <f t="shared" si="1"/>
        <v>0604</v>
      </c>
      <c r="I19" s="67" t="s">
        <v>178</v>
      </c>
    </row>
    <row r="20" spans="1:9" ht="45">
      <c r="A20" s="67" t="str">
        <f>"0000038728"</f>
        <v>0000038728</v>
      </c>
      <c r="B20" s="67">
        <v>2</v>
      </c>
      <c r="C20" s="68">
        <v>815.54</v>
      </c>
      <c r="D20" s="67">
        <v>83440</v>
      </c>
      <c r="E20" s="67" t="str">
        <f t="shared" si="0"/>
        <v>00104</v>
      </c>
      <c r="F20" s="67">
        <v>603145</v>
      </c>
      <c r="G20" s="67">
        <v>60012</v>
      </c>
      <c r="H20" s="67" t="str">
        <f t="shared" si="1"/>
        <v>0604</v>
      </c>
      <c r="I20" s="67" t="s">
        <v>179</v>
      </c>
    </row>
    <row r="21" spans="1:9" ht="30">
      <c r="A21" s="67" t="str">
        <f>"0000038728"</f>
        <v>0000038728</v>
      </c>
      <c r="B21" s="67">
        <v>3</v>
      </c>
      <c r="C21" s="68">
        <v>114.35</v>
      </c>
      <c r="D21" s="67">
        <v>83440</v>
      </c>
      <c r="E21" s="67" t="str">
        <f t="shared" si="0"/>
        <v>00104</v>
      </c>
      <c r="F21" s="67">
        <v>603145</v>
      </c>
      <c r="G21" s="67">
        <v>60012</v>
      </c>
      <c r="H21" s="67" t="str">
        <f t="shared" si="1"/>
        <v>0604</v>
      </c>
      <c r="I21" s="67" t="s">
        <v>176</v>
      </c>
    </row>
    <row r="22" ht="12.75">
      <c r="C22" s="69">
        <f>SUM(C4:C21)</f>
        <v>92041.60000000002</v>
      </c>
    </row>
    <row r="23" ht="12.75">
      <c r="C23" s="69"/>
    </row>
    <row r="24" ht="12.75">
      <c r="D24" t="s">
        <v>181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-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Information Systems</dc:creator>
  <cp:keywords/>
  <dc:description/>
  <cp:lastModifiedBy>Campus Information Systems</cp:lastModifiedBy>
  <dcterms:created xsi:type="dcterms:W3CDTF">2004-11-20T10:18:55Z</dcterms:created>
  <dcterms:modified xsi:type="dcterms:W3CDTF">2005-02-10T21:47:22Z</dcterms:modified>
  <cp:category/>
  <cp:version/>
  <cp:contentType/>
  <cp:contentStatus/>
</cp:coreProperties>
</file>